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b7f6573351209f/Desktop/GW Excel/Excel challenge/Instructions/"/>
    </mc:Choice>
  </mc:AlternateContent>
  <xr:revisionPtr revIDLastSave="33" documentId="8_{28554662-CC03-4563-AEE7-52126707DA09}" xr6:coauthVersionLast="47" xr6:coauthVersionMax="47" xr10:uidLastSave="{DA1CCD8D-F491-4624-BF0E-AE0A5D32B60D}"/>
  <bookViews>
    <workbookView xWindow="28680" yWindow="-120" windowWidth="29040" windowHeight="15840" activeTab="5" xr2:uid="{00000000-000D-0000-FFFF-FFFF00000000}"/>
  </bookViews>
  <sheets>
    <sheet name="Crowdfunding" sheetId="1" r:id="rId1"/>
    <sheet name="Category" sheetId="2" r:id="rId2"/>
    <sheet name="Sub-Category" sheetId="3" r:id="rId3"/>
    <sheet name="Date Created " sheetId="7" r:id="rId4"/>
    <sheet name="Goal" sheetId="8" r:id="rId5"/>
    <sheet name="Statistical Analysis" sheetId="10" r:id="rId6"/>
  </sheets>
  <definedNames>
    <definedName name="_xlnm._FilterDatabase" localSheetId="5" hidden="1">'Statistical Analysis'!$A$1:$B$1001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0" l="1"/>
  <c r="J7" i="10"/>
  <c r="J6" i="10"/>
  <c r="J5" i="10"/>
  <c r="J4" i="10"/>
  <c r="H8" i="10"/>
  <c r="H7" i="10"/>
  <c r="H6" i="10"/>
  <c r="H5" i="10"/>
  <c r="H4" i="10"/>
  <c r="J3" i="10"/>
  <c r="H3" i="10"/>
  <c r="H4" i="8"/>
  <c r="H5" i="8"/>
  <c r="H6" i="8"/>
  <c r="H7" i="8"/>
  <c r="H8" i="8"/>
  <c r="H9" i="8"/>
  <c r="H10" i="8"/>
  <c r="H11" i="8"/>
  <c r="H12" i="8"/>
  <c r="H13" i="8"/>
  <c r="H3" i="8"/>
  <c r="G13" i="8"/>
  <c r="G9" i="8"/>
  <c r="G10" i="8"/>
  <c r="G11" i="8"/>
  <c r="G12" i="8"/>
  <c r="G4" i="8"/>
  <c r="G5" i="8"/>
  <c r="G6" i="8"/>
  <c r="G7" i="8"/>
  <c r="G8" i="8"/>
  <c r="G3" i="8"/>
  <c r="G2" i="8"/>
  <c r="H2" i="8"/>
  <c r="F2" i="8"/>
  <c r="F3" i="8"/>
  <c r="F4" i="8"/>
  <c r="F5" i="8"/>
  <c r="F6" i="8"/>
  <c r="F7" i="8"/>
  <c r="F8" i="8"/>
  <c r="F9" i="8"/>
  <c r="F10" i="8"/>
  <c r="F11" i="8"/>
  <c r="F12" i="8"/>
  <c r="F13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C2" i="8"/>
  <c r="D2" i="8"/>
  <c r="B2" i="8"/>
  <c r="B13" i="8"/>
  <c r="B12" i="8"/>
  <c r="B11" i="8"/>
  <c r="B10" i="8"/>
  <c r="B9" i="8"/>
  <c r="B8" i="8"/>
  <c r="B7" i="8"/>
  <c r="B6" i="8"/>
  <c r="B5" i="8"/>
  <c r="B4" i="8"/>
  <c r="B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045273-9DF9-40E0-B21A-1982B3245ED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BC2878A-5D08-46F2-A998-5BD014D16EA3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<sst xmlns="http://schemas.openxmlformats.org/spreadsheetml/2006/main" count="9068" uniqueCount="2114">
  <si>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</si>
  <si>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</si>
  <si>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</si>
  <si>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</si>
  <si>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</si>
  <si>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</si>
  <si>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</si>
  <si>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</si>
  <si>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</si>
  <si>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</si>
  <si>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</si>
  <si>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</si>
  <si>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</si>
  <si>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</si>
  <si>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</si>
  <si>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</si>
  <si>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</si>
  <si>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</si>
  <si>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</si>
  <si>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</si>
  <si>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</si>
  <si>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</si>
  <si>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</si>
  <si>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</si>
  <si>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</si>
  <si>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</si>
  <si>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</si>
  <si>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</si>
  <si>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</si>
  <si>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</si>
  <si>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</si>
  <si>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</si>
  <si>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</si>
  <si>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</si>
  <si>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</si>
  <si>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</si>
  <si>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</si>
  <si>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</si>
  <si>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</si>
  <si>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</si>
  <si>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</si>
  <si>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</si>
  <si>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</si>
  <si>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</si>
  <si>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</si>
  <si>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</si>
  <si>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</si>
  <si>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</si>
  <si>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</si>
  <si>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</si>
  <si>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</si>
  <si>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</si>
  <si>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</si>
  <si>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</si>
  <si>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</si>
  <si>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</si>
  <si>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</si>
  <si>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</si>
  <si>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</si>
  <si>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</si>
  <si>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</si>
  <si>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</si>
  <si>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</si>
  <si>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</si>
  <si>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</si>
  <si>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</si>
  <si>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</si>
  <si>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</si>
  <si>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</si>
  <si>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</si>
  <si>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</si>
  <si>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</si>
  <si>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</si>
  <si>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</si>
  <si>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</si>
  <si>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</si>
  <si>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</si>
  <si>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</si>
  <si>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</si>
  <si>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</si>
  <si>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</si>
  <si>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</si>
  <si>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</si>
  <si>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</si>
  <si>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</si>
  <si>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</si>
  <si>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</si>
  <si>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</si>
  <si>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</si>
  <si>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</si>
  <si>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</si>
  <si>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</si>
  <si>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</si>
  <si>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</si>
  <si>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</si>
  <si>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</si>
  <si>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</si>
  <si>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</si>
  <si>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</si>
  <si>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</si>
  <si>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</si>
  <si>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</si>
  <si>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</si>
  <si>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</si>
  <si>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</si>
  <si>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</si>
  <si>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</si>
  <si>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</si>
  <si>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</si>
  <si>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</si>
  <si>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</si>
  <si>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</si>
  <si>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</si>
  <si>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</si>
  <si>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</si>
  <si>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</si>
  <si>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</si>
  <si>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</si>
  <si>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</si>
  <si>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</si>
  <si>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</si>
  <si>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</si>
  <si>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</si>
  <si>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</si>
  <si>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</si>
  <si>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</si>
  <si>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</si>
  <si>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</si>
  <si>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</si>
  <si>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</si>
  <si>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</si>
  <si>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</si>
  <si>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</si>
  <si>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</si>
  <si>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</si>
  <si>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</si>
  <si>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</si>
  <si>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</si>
  <si>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</si>
  <si>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</si>
  <si>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</si>
  <si>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</si>
  <si>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</si>
  <si>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</si>
  <si>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</si>
  <si>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</si>
  <si>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</si>
  <si>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</si>
  <si>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</si>
  <si>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</si>
  <si>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</si>
  <si>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</si>
  <si>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</si>
  <si>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</si>
  <si>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</si>
  <si>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</si>
  <si>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</si>
  <si>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</si>
  <si>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</si>
  <si>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</si>
  <si>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</si>
  <si>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</si>
  <si>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</si>
  <si>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</si>
  <si>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</si>
  <si>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</si>
  <si>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</si>
  <si>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</si>
  <si>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</si>
  <si>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</si>
  <si>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</si>
  <si>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</si>
  <si>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</si>
  <si>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</si>
  <si>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</si>
  <si>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</si>
  <si>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</si>
  <si>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</si>
  <si>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</si>
  <si>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</si>
  <si>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</si>
  <si>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</si>
  <si>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</si>
  <si>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</si>
  <si>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</si>
  <si>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</si>
  <si>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</si>
  <si>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</si>
  <si>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</si>
  <si>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</si>
  <si>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</si>
  <si>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</si>
  <si>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</si>
  <si>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</si>
  <si>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</si>
  <si>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</si>
  <si>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</si>
  <si>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</si>
  <si>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</si>
  <si>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</si>
  <si>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</si>
  <si>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</si>
  <si>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</si>
  <si>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</si>
  <si>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</si>
  <si>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</si>
  <si>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</si>
  <si>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</si>
  <si>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</si>
  <si>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</si>
  <si>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</si>
  <si>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</si>
  <si>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</si>
  <si>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</si>
  <si>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</si>
  <si>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</si>
  <si>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</si>
  <si>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</si>
  <si>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</si>
  <si>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</si>
  <si>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</si>
  <si>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</si>
  <si>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</si>
  <si>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</si>
  <si>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</si>
  <si>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</si>
  <si>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</si>
  <si>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</si>
  <si>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</si>
  <si>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</si>
  <si>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</si>
  <si>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</si>
  <si>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</si>
  <si>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</si>
  <si>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</si>
  <si>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</si>
  <si>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</si>
  <si>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</si>
  <si>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</si>
  <si>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</si>
  <si>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</si>
  <si>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</si>
  <si>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</si>
  <si>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</si>
  <si>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</si>
  <si>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</si>
  <si>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</si>
  <si>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</si>
  <si>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</si>
  <si>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</si>
  <si>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</si>
  <si>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</si>
  <si>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</si>
  <si>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</si>
  <si>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</si>
  <si>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</si>
  <si>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</si>
  <si>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</si>
  <si>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</si>
  <si>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</si>
  <si>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</si>
  <si>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</si>
  <si>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</si>
  <si>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</si>
  <si>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</si>
  <si>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</si>
  <si>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</si>
  <si>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</si>
  <si>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</si>
  <si>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</si>
  <si>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</si>
  <si>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</si>
  <si>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</si>
  <si>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</si>
  <si>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</si>
  <si>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</si>
  <si>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</si>
  <si>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</si>
  <si>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</si>
  <si>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</si>
  <si>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</si>
  <si>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</si>
  <si>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</si>
  <si>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</si>
  <si>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</si>
  <si>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</si>
  <si>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</si>
  <si>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</si>
  <si>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</si>
  <si>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</si>
  <si>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</si>
  <si>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</si>
  <si>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</si>
  <si>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</si>
  <si>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</si>
  <si>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</si>
  <si>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</si>
  <si>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</si>
  <si>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</si>
  <si>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</si>
  <si>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</si>
  <si>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</si>
  <si>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</si>
  <si>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</si>
  <si>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</si>
  <si>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</si>
  <si>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</si>
  <si>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</si>
  <si>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</si>
  <si>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</si>
  <si>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</si>
  <si>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</si>
  <si>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</si>
  <si>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</si>
  <si>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</si>
  <si>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</si>
  <si>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</si>
  <si>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</si>
  <si>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</si>
  <si>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</si>
  <si>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</si>
  <si>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</si>
  <si>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</si>
  <si>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</si>
  <si>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</si>
  <si>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</si>
  <si>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</si>
  <si>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</si>
  <si>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</si>
  <si>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</si>
  <si>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</si>
  <si>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</si>
  <si>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</si>
  <si>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</si>
  <si>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</si>
  <si>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</si>
  <si>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</si>
  <si>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</si>
  <si>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</si>
  <si>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</si>
  <si>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</si>
  <si>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</si>
  <si>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</si>
  <si>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</si>
  <si>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</si>
  <si>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</si>
  <si>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</si>
  <si>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</si>
  <si>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</si>
  <si>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</si>
  <si>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</si>
  <si>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</si>
  <si>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</si>
  <si>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</si>
  <si>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</si>
  <si>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</si>
  <si>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</si>
  <si>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</si>
  <si>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</si>
  <si>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</si>
  <si>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</si>
  <si>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</si>
  <si>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</si>
  <si>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</si>
  <si>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</si>
  <si>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</si>
  <si>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</si>
  <si>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</si>
  <si>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</si>
  <si>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</si>
  <si>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</si>
  <si>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</si>
  <si>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</si>
  <si>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</si>
  <si>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</si>
  <si>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</si>
  <si>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</si>
  <si>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</si>
  <si>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</si>
  <si>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</si>
  <si>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</si>
  <si>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</si>
  <si>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</si>
  <si>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</si>
  <si>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</si>
  <si>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</si>
  <si>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</si>
  <si>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</si>
  <si>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</si>
  <si>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</si>
  <si>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</si>
  <si>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</si>
  <si>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</si>
  <si>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</si>
  <si>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</si>
  <si>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</si>
  <si>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</si>
  <si>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</si>
  <si>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</si>
  <si>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</si>
  <si>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</si>
  <si>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</si>
  <si>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</si>
  <si>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</si>
  <si>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</si>
  <si>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</si>
  <si>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</si>
  <si>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</si>
  <si>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</si>
  <si>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</si>
  <si>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</si>
  <si>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</si>
  <si>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</si>
  <si>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</si>
  <si>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</si>
  <si>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</si>
  <si>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</si>
  <si>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</si>
  <si>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</si>
  <si>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</si>
  <si>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</si>
  <si>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</si>
  <si>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</si>
  <si>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</si>
  <si>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</si>
  <si>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</si>
  <si>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</si>
  <si>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</si>
  <si>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</si>
  <si>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</si>
  <si>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</si>
  <si>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</si>
  <si>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</si>
  <si>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</si>
  <si>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</si>
  <si>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</si>
  <si>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</si>
  <si>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</si>
  <si>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</si>
  <si>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</si>
  <si>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</si>
  <si>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</si>
  <si>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</si>
  <si>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</si>
  <si>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</si>
  <si>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</si>
  <si>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</si>
  <si>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</si>
  <si>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</si>
  <si>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</si>
  <si>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</si>
  <si>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</si>
  <si>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</si>
  <si>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</si>
  <si>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</si>
  <si>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</si>
  <si>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</si>
  <si>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</si>
  <si>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</si>
  <si>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</si>
  <si>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</si>
  <si>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</si>
  <si>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</si>
  <si>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</si>
  <si>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</si>
  <si>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</si>
  <si>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</si>
  <si>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</si>
  <si>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</si>
  <si>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</si>
  <si>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</si>
  <si>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</si>
  <si>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</si>
  <si>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</si>
  <si>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</si>
  <si>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</si>
  <si>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</si>
  <si>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</si>
  <si>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</si>
  <si>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</si>
  <si>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</si>
  <si>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</si>
  <si>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</si>
  <si>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</si>
  <si>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</si>
  <si>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</si>
  <si>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</si>
  <si>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</si>
  <si>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</si>
  <si>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</si>
  <si>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</si>
  <si>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</si>
  <si>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</si>
  <si>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</si>
  <si>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</si>
  <si>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</si>
  <si>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</si>
  <si>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</si>
  <si>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</si>
  <si>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</si>
  <si>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</si>
  <si>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</si>
  <si>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</si>
  <si>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</si>
  <si>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</si>
  <si>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</si>
  <si>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</si>
  <si>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</si>
  <si>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</si>
  <si>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</si>
  <si>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</si>
  <si>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</si>
  <si>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</si>
  <si>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</si>
  <si>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</si>
  <si>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</si>
  <si>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</si>
  <si>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</si>
  <si>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</si>
  <si>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</si>
  <si>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</si>
  <si>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</si>
  <si>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</si>
  <si>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</si>
  <si>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</si>
  <si>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</si>
  <si>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</si>
  <si>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</si>
  <si>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</si>
  <si>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</si>
  <si>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</si>
  <si>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</si>
  <si>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</si>
  <si>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</si>
  <si>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</si>
  <si>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</si>
  <si>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</si>
  <si>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</si>
  <si>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</si>
  <si>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</si>
  <si>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</si>
  <si>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</si>
  <si>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</si>
  <si>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</si>
  <si>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</si>
  <si>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</si>
  <si>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</si>
  <si>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</si>
  <si>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</si>
  <si>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</si>
  <si>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</si>
  <si>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</si>
  <si>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</si>
  <si>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</si>
  <si>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</si>
  <si>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</si>
  <si>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</si>
  <si>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</si>
  <si>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</si>
  <si>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</si>
  <si>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</si>
  <si>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</si>
  <si>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</si>
  <si>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</si>
  <si>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</si>
  <si>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</si>
  <si>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</si>
  <si>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</si>
  <si>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</si>
  <si>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</si>
  <si>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</si>
  <si>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</si>
  <si>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</si>
  <si>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</si>
  <si>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</si>
  <si>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</si>
  <si>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</si>
  <si>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</si>
  <si>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</si>
  <si>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</si>
  <si>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</si>
  <si>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</si>
  <si>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</si>
  <si>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</si>
  <si>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</si>
  <si>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</si>
  <si>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</si>
  <si>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</si>
  <si>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</si>
  <si>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</si>
  <si>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</si>
  <si>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</si>
  <si>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</si>
  <si>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</si>
  <si>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</si>
  <si>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</si>
  <si>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</si>
  <si>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</si>
  <si>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</si>
  <si>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</si>
  <si>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</si>
  <si>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</si>
  <si>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</si>
  <si>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</si>
  <si>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</si>
  <si>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</si>
  <si>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</si>
  <si>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</si>
  <si>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</si>
  <si>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</si>
  <si>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</si>
  <si>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</si>
  <si>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</si>
  <si>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</si>
  <si>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</si>
  <si>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</si>
  <si>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</si>
  <si>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</si>
  <si>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</si>
  <si>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</si>
  <si>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</si>
  <si>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</si>
  <si>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</si>
  <si>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</si>
  <si>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</si>
  <si>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</si>
  <si>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</si>
  <si>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</si>
  <si>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</si>
  <si>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</si>
  <si>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</si>
  <si>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</si>
  <si>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</si>
  <si>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</si>
  <si>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</si>
  <si>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</si>
  <si>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</si>
  <si>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</si>
  <si>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</si>
  <si>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</si>
  <si>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</si>
  <si>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</si>
  <si>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</si>
  <si>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</si>
  <si>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</si>
  <si>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</si>
  <si>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</si>
  <si>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</si>
  <si>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</si>
  <si>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</si>
  <si>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</si>
  <si>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</si>
  <si>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</si>
  <si>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</si>
  <si>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</si>
  <si>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</si>
  <si>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</si>
  <si>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</si>
  <si>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</si>
  <si>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</si>
  <si>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</si>
  <si>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</si>
  <si>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</si>
  <si>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</si>
  <si>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</si>
  <si>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</si>
  <si>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</si>
  <si>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</si>
  <si>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</si>
  <si>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</si>
  <si>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</si>
  <si>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</si>
  <si>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</si>
  <si>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</si>
  <si>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</si>
  <si>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</si>
  <si>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</si>
  <si>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</si>
  <si>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</si>
  <si>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</si>
  <si>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</si>
  <si>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</si>
  <si>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</si>
  <si>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</si>
  <si>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</si>
  <si>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</si>
  <si>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</si>
  <si>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</si>
  <si>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</si>
  <si>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</si>
  <si>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</si>
  <si>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</si>
  <si>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</si>
  <si>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</si>
  <si>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</si>
  <si>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</si>
  <si>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</si>
  <si>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</si>
  <si>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</si>
  <si>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</si>
  <si>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</si>
  <si>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</si>
  <si>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</si>
  <si>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</si>
  <si>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</si>
  <si>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</si>
  <si>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</si>
  <si>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</si>
  <si>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</si>
  <si>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</si>
  <si>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</si>
  <si>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</si>
  <si>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</si>
  <si>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</si>
  <si>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</si>
  <si>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</si>
  <si>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</si>
  <si>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</si>
  <si>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</si>
  <si>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</si>
  <si>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</si>
  <si>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</si>
  <si>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</si>
  <si>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</si>
  <si>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</si>
  <si>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</si>
  <si>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</si>
  <si>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</si>
  <si>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</si>
  <si>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</si>
  <si>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</si>
  <si>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</si>
  <si>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</si>
  <si>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</si>
  <si>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</si>
  <si>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</si>
  <si>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</si>
  <si>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</si>
  <si>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</si>
  <si>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</si>
  <si>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</si>
  <si>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</si>
  <si>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</si>
  <si>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</si>
  <si>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</si>
  <si>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</si>
  <si>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</si>
  <si>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</si>
  <si>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</si>
  <si>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</si>
  <si>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</si>
  <si>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</si>
  <si>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</si>
  <si>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</si>
  <si>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</si>
  <si>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</si>
  <si>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</si>
  <si>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</si>
  <si>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</si>
  <si>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</si>
  <si>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</si>
  <si>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</si>
  <si>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</si>
  <si>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</si>
  <si>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</si>
  <si>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</si>
  <si>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</si>
  <si>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</si>
  <si>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</si>
  <si>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</si>
  <si>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</si>
  <si>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</si>
  <si>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</si>
  <si>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</si>
  <si>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</si>
  <si>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</si>
  <si>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</si>
  <si>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</si>
  <si>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</si>
  <si>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</si>
  <si>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</si>
  <si>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</si>
  <si>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</si>
  <si>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</si>
  <si>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</si>
  <si>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</si>
  <si>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</si>
  <si>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</si>
  <si>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</si>
  <si>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</si>
  <si>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</si>
  <si>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</si>
  <si>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</si>
  <si>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</si>
  <si>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</si>
  <si>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</si>
  <si>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</si>
  <si>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</si>
  <si>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</si>
  <si>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</si>
  <si>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</si>
  <si>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</si>
  <si>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</si>
  <si>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</si>
  <si>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</si>
  <si>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</si>
  <si>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</si>
  <si>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</si>
  <si>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</si>
  <si>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</si>
  <si>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</si>
  <si>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</si>
  <si>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</si>
  <si>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</si>
  <si>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</si>
  <si>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</si>
  <si>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</si>
  <si>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</si>
  <si>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</si>
  <si>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</si>
  <si>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</si>
  <si>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</si>
  <si>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</si>
  <si>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</si>
  <si>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</si>
  <si>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</si>
  <si>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</si>
  <si>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</si>
  <si>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</si>
  <si>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</si>
  <si>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</si>
  <si>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</si>
  <si>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</si>
  <si>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</si>
  <si>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</si>
  <si>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</si>
  <si>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</si>
  <si>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</si>
  <si>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</si>
  <si>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</si>
  <si>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</si>
  <si>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</si>
  <si>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</si>
  <si>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</si>
  <si>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</si>
  <si>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</si>
  <si>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</si>
  <si>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</si>
  <si>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</si>
  <si>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</si>
  <si>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</si>
  <si>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</si>
  <si>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</si>
  <si>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</si>
  <si>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</si>
  <si>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</si>
  <si>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</si>
  <si>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</si>
  <si>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</si>
  <si>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</si>
  <si>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</si>
  <si>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</si>
  <si>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</si>
  <si>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</si>
  <si>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</si>
  <si>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</si>
  <si>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</si>
  <si>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</si>
  <si>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</si>
  <si>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</si>
  <si>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</si>
  <si>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</si>
  <si>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</si>
  <si>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</si>
  <si>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</si>
  <si>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</si>
  <si>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</si>
  <si>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</si>
  <si>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</si>
  <si>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</si>
  <si>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</si>
  <si>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</si>
  <si>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</si>
  <si>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</si>
  <si>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</si>
  <si>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</si>
  <si>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</si>
  <si>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</si>
  <si>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</si>
  <si>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</si>
  <si>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</si>
  <si>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</si>
  <si>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</si>
  <si>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</si>
  <si>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</si>
  <si>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</si>
  <si>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</si>
  <si>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</si>
  <si>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</si>
  <si>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</si>
  <si>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</si>
  <si>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</si>
  <si>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</si>
  <si>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</si>
  <si>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</si>
  <si>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</si>
  <si>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</si>
  <si>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</si>
  <si>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</si>
  <si>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</si>
  <si>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</si>
  <si>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</si>
  <si>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</si>
  <si>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</si>
  <si>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</si>
  <si>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</si>
  <si>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</si>
  <si>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</si>
  <si>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</si>
  <si>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</si>
  <si>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</si>
  <si>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</si>
  <si>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</si>
  <si>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</si>
  <si>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</si>
  <si>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</si>
  <si>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</si>
  <si>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</si>
  <si>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</si>
  <si>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</si>
  <si>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</si>
  <si>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</si>
  <si>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</si>
  <si>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</si>
  <si>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</si>
  <si>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</si>
  <si>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</si>
  <si>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</si>
  <si>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</si>
  <si>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</si>
  <si>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</si>
  <si>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</si>
  <si>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</si>
  <si>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</si>
  <si>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</si>
  <si>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</si>
  <si>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</si>
  <si>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</si>
  <si>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</si>
  <si>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</si>
  <si>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</si>
  <si>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</si>
  <si>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</si>
  <si>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</si>
  <si>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</si>
  <si>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</si>
  <si>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</si>
  <si>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</si>
  <si>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</si>
  <si>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</si>
  <si>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</si>
  <si>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</si>
  <si>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</si>
  <si>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</si>
  <si>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</si>
  <si>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</si>
  <si>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</si>
  <si>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</si>
  <si>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</si>
  <si>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</si>
  <si>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</si>
  <si>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</si>
  <si>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</si>
  <si>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</si>
  <si>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</si>
  <si>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</si>
  <si>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</si>
  <si>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</si>
  <si>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</si>
  <si>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</si>
  <si>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</si>
  <si>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</si>
  <si>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</si>
  <si>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</si>
  <si>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</si>
  <si>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</si>
  <si>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</si>
  <si>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</si>
  <si>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</si>
  <si>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</si>
  <si>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</si>
  <si>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</si>
  <si>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</si>
  <si>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</si>
  <si>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</si>
  <si>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</si>
  <si>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</si>
  <si>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</si>
  <si>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</si>
  <si>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</si>
  <si>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</si>
  <si>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</si>
  <si>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</si>
  <si>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</si>
  <si>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</si>
  <si>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</si>
  <si>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</si>
  <si>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</si>
  <si>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</si>
  <si>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</si>
  <si>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</si>
  <si>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</si>
  <si>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</si>
  <si>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</si>
  <si>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</si>
  <si>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</si>
  <si>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</si>
  <si>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</si>
  <si>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</si>
  <si>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</si>
  <si>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</si>
  <si>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</si>
  <si>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</si>
  <si>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</si>
  <si>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</si>
  <si>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</si>
  <si>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</si>
  <si>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</si>
  <si>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</si>
  <si>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</si>
  <si>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</si>
  <si>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</si>
  <si>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</si>
  <si>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</si>
  <si>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</si>
  <si>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</si>
  <si>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</si>
  <si>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</si>
  <si>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</si>
  <si>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</si>
  <si>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</si>
  <si>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</si>
  <si>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</si>
  <si>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</si>
  <si>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</si>
  <si>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</si>
  <si>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</si>
  <si>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</si>
  <si>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</si>
  <si>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</si>
  <si>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</si>
  <si>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</si>
  <si>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</si>
  <si>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</si>
  <si>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</si>
  <si>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</si>
  <si>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</si>
  <si>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</si>
  <si>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</si>
  <si>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</si>
  <si>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</si>
  <si>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</si>
  <si>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</si>
  <si>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</si>
  <si>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</si>
  <si>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</si>
  <si>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</si>
  <si>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</si>
  <si>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</si>
  <si>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</si>
  <si>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</si>
  <si>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</si>
  <si>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</si>
  <si>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</si>
  <si>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</si>
  <si>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</si>
  <si>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</si>
  <si>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</si>
  <si>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</si>
  <si>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</si>
  <si>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</si>
  <si>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</si>
  <si>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</si>
  <si>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</si>
  <si>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</si>
  <si>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</si>
  <si>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</si>
  <si>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</si>
  <si>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</si>
  <si>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</si>
  <si>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</si>
  <si>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</si>
  <si>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</si>
  <si>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</si>
  <si>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</si>
  <si>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</si>
  <si>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</si>
  <si>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</si>
  <si>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</si>
  <si>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</si>
  <si>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</si>
  <si>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</si>
  <si>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</si>
  <si>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</si>
  <si>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</si>
  <si>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</si>
  <si>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</si>
  <si>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</si>
  <si>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</si>
  <si>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</si>
  <si>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</si>
  <si>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</si>
  <si>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</si>
  <si>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</si>
  <si>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</si>
  <si>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</si>
  <si>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</si>
  <si>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</si>
  <si>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</si>
  <si>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</si>
  <si>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</si>
  <si>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</si>
  <si>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</si>
  <si>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</si>
  <si>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</si>
  <si>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</si>
  <si>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</si>
  <si>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</si>
  <si>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</si>
  <si>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</si>
  <si>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</si>
  <si>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</si>
  <si>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</si>
  <si>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</si>
  <si>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</si>
  <si>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</si>
  <si>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</si>
  <si>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</si>
  <si>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</si>
  <si>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</si>
  <si>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</si>
  <si>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</si>
  <si>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</si>
  <si>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</si>
  <si>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</si>
  <si>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</si>
  <si>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</si>
  <si>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</si>
  <si>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</si>
  <si>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</si>
  <si>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</si>
  <si>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</si>
  <si>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</si>
  <si>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</si>
  <si>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</si>
  <si>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</si>
  <si>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</si>
  <si>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</si>
  <si>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</si>
  <si>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</si>
  <si>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</si>
  <si>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</si>
  <si>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</si>
  <si>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</si>
  <si>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</si>
  <si>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</si>
  <si>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</si>
  <si>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</si>
  <si>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</si>
  <si>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</si>
  <si>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</si>
  <si>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</si>
  <si>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</si>
  <si>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</si>
  <si>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</si>
  <si>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</si>
  <si>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</si>
  <si>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</si>
  <si>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</si>
  <si>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</si>
  <si>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</si>
  <si>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</si>
  <si>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</si>
  <si>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</si>
  <si>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</si>
  <si>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</si>
  <si>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</si>
  <si>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</si>
  <si>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</si>
  <si>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</si>
  <si>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</si>
  <si>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</si>
  <si>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</si>
  <si>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</si>
  <si>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</si>
  <si>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</si>
  <si>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</si>
  <si>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</si>
  <si>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</si>
  <si>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</si>
  <si>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</si>
  <si>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</si>
  <si>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</si>
  <si>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</si>
  <si>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</si>
  <si>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</si>
  <si>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</si>
  <si>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</si>
  <si>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</si>
  <si>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</si>
  <si>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</si>
  <si>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</si>
  <si>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</si>
  <si>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</si>
  <si>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</si>
  <si>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</si>
  <si>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</si>
  <si>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</si>
  <si>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</si>
  <si>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</si>
  <si>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</si>
  <si>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</si>
  <si>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</si>
  <si>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</si>
  <si>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</si>
  <si>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</si>
  <si>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</si>
  <si>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</si>
  <si>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</si>
  <si>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</si>
  <si>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</si>
  <si>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</si>
  <si>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</si>
  <si>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</si>
  <si>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</si>
  <si>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</si>
  <si>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</si>
  <si>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</si>
  <si>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</si>
  <si>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</si>
  <si>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</si>
  <si>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</si>
  <si>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</si>
  <si>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</si>
  <si>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</si>
  <si>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</si>
  <si>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</si>
  <si>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</si>
  <si>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</si>
  <si>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</si>
  <si>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</si>
  <si>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</si>
  <si>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</si>
  <si>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</si>
  <si>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</si>
  <si>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</si>
  <si>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</si>
  <si>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</si>
  <si>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</si>
  <si>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</si>
  <si>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</si>
  <si>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</si>
  <si>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</si>
  <si>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</si>
  <si>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</si>
  <si>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</si>
  <si>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</si>
  <si>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</si>
  <si>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</si>
  <si>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</si>
  <si>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</si>
  <si>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</si>
  <si>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</si>
  <si>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</si>
  <si>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</si>
  <si>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</si>
  <si>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</si>
  <si>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</si>
  <si>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</si>
  <si>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</si>
  <si>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</si>
  <si>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</si>
  <si>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</si>
  <si>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</si>
  <si>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</si>
  <si>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</si>
  <si>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</si>
  <si>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</si>
  <si>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</si>
  <si>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</si>
  <si>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</si>
  <si>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</si>
  <si>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</si>
  <si>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</si>
  <si>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</si>
  <si>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</si>
  <si>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</si>
  <si>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</si>
  <si>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</si>
  <si>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</si>
  <si>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</si>
  <si>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</si>
  <si>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</si>
  <si>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</si>
  <si>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</si>
  <si>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</si>
  <si>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</si>
  <si>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</si>
  <si>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</si>
  <si>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</si>
  <si>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</si>
  <si>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</si>
  <si>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</si>
  <si>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</si>
  <si>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</si>
  <si>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</si>
  <si>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</si>
  <si>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</si>
  <si>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</si>
  <si>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</si>
  <si>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</si>
  <si>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</si>
  <si>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</si>
  <si>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</si>
  <si>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</si>
  <si>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</si>
  <si>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</si>
  <si>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</si>
  <si>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</si>
  <si>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</si>
  <si>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</si>
  <si>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</si>
  <si>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</si>
  <si>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</si>
  <si>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</si>
  <si>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</si>
  <si>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</si>
  <si>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</si>
  <si>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</si>
  <si>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</si>
  <si>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</si>
  <si>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</si>
  <si>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</si>
  <si>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</si>
  <si>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</si>
  <si>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</si>
  <si>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</si>
  <si>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</si>
  <si>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</si>
  <si>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</si>
  <si>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</si>
  <si>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</si>
  <si>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</si>
  <si>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</si>
  <si>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</si>
  <si>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</si>
  <si>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</si>
  <si>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</si>
  <si>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</si>
  <si>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</si>
  <si>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</si>
  <si>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</si>
  <si>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</si>
  <si>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</si>
  <si>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</si>
  <si>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</si>
  <si>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</si>
  <si>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</si>
  <si>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</si>
  <si>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</si>
  <si>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</si>
  <si>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</si>
  <si>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</si>
  <si>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</si>
  <si>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</si>
  <si>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</si>
  <si>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</si>
  <si>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</si>
  <si>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</si>
  <si>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</si>
  <si>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</si>
  <si>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</si>
  <si>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</si>
  <si>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</si>
  <si>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</si>
  <si>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</si>
  <si>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</si>
  <si>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</si>
  <si>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</si>
  <si>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</si>
  <si>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</si>
  <si>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</si>
  <si>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</si>
  <si>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</si>
  <si>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</si>
  <si>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</si>
  <si>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</si>
  <si>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</si>
  <si>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</si>
  <si>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</si>
  <si>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</si>
  <si>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</si>
  <si>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</si>
  <si>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</si>
  <si>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</si>
  <si>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</si>
  <si>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</si>
  <si>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</si>
  <si>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</si>
  <si>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</si>
  <si>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</si>
  <si>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</si>
  <si>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</si>
  <si>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</si>
  <si>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</si>
  <si>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</si>
  <si>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</si>
  <si>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</si>
  <si>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</si>
  <si>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</si>
  <si>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</si>
  <si>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</si>
  <si>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</si>
  <si>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</si>
  <si>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</si>
  <si>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</si>
  <si>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</si>
  <si>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</si>
  <si>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</si>
  <si>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</si>
  <si>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</si>
  <si>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</si>
  <si>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</si>
  <si>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</si>
  <si>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</si>
  <si>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</si>
  <si>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</si>
  <si>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</si>
  <si>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</si>
  <si>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</si>
  <si>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</si>
  <si>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</si>
  <si>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</si>
  <si>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</si>
  <si>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</si>
  <si>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</si>
  <si>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</si>
  <si>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</si>
  <si>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</si>
  <si>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</si>
  <si>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</si>
  <si>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</si>
  <si>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</si>
  <si>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</si>
  <si>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</si>
  <si>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</si>
  <si>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</si>
  <si>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</si>
  <si>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</si>
  <si>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</si>
  <si>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</si>
  <si>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</si>
  <si>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</si>
  <si>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</si>
  <si>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</si>
  <si>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</si>
  <si>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</si>
  <si>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</si>
  <si>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</si>
  <si>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</si>
  <si>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</si>
  <si>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</si>
  <si>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</si>
  <si>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</si>
  <si>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</si>
  <si>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</si>
  <si>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</si>
  <si>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</si>
  <si>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</si>
  <si>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</si>
  <si>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</si>
  <si>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</si>
  <si>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</si>
  <si>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</si>
  <si>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</si>
  <si>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</si>
  <si>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</si>
  <si>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</si>
  <si>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</si>
  <si>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</si>
  <si>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</si>
  <si>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</si>
  <si>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</si>
  <si>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</si>
  <si>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</si>
  <si>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</si>
  <si>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</si>
  <si>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</si>
  <si>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</si>
  <si>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</si>
  <si>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</si>
  <si>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</si>
  <si>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</si>
  <si>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</si>
  <si>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</si>
  <si>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</si>
  <si>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</si>
  <si>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</si>
  <si>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</si>
  <si>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</si>
  <si>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</si>
  <si>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</si>
  <si>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</si>
  <si>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</si>
  <si>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</si>
  <si>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</si>
  <si>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</si>
  <si>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</si>
  <si>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</si>
  <si>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</si>
  <si>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</si>
  <si>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</si>
  <si>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</si>
  <si>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</si>
  <si>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</si>
  <si>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</si>
  <si>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</si>
  <si>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</si>
  <si>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</si>
  <si>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</si>
  <si>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</si>
  <si>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</si>
  <si>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</si>
  <si>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</si>
  <si>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</si>
  <si>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</si>
  <si>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</si>
  <si>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</si>
  <si>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</si>
  <si>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</si>
  <si>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</si>
  <si>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</si>
  <si>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</si>
  <si>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</si>
  <si>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</si>
  <si>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</si>
  <si>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</si>
  <si>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</si>
  <si>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</si>
  <si>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</si>
  <si>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</si>
  <si>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</si>
  <si>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</si>
  <si>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</si>
  <si>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</si>
  <si>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</si>
  <si>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</si>
  <si>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</si>
  <si>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</si>
  <si>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</si>
  <si>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</si>
  <si>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</si>
  <si>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</si>
  <si>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</si>
  <si>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</si>
  <si>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</si>
  <si>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</si>
  <si>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</si>
  <si>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</si>
  <si>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</si>
  <si>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</si>
  <si>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</si>
  <si>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</si>
  <si>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</si>
  <si>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</si>
  <si>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</si>
  <si>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</si>
  <si>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</si>
  <si>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</si>
  <si>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</si>
  <si>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</si>
  <si>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</si>
  <si>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</si>
  <si>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</si>
  <si>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</si>
  <si>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</si>
  <si>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</si>
  <si>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</si>
  <si>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</si>
  <si>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</si>
  <si>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</si>
  <si>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</si>
  <si>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</si>
  <si>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</si>
  <si>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</si>
  <si>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</si>
  <si>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</si>
  <si>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</si>
  <si>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</si>
  <si>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</si>
  <si>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</si>
  <si>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</si>
  <si>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</si>
  <si>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</si>
  <si>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</si>
  <si>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</si>
  <si>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</si>
  <si>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</si>
  <si>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</si>
  <si>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</si>
  <si>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</si>
  <si>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</si>
  <si>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</si>
  <si>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</si>
  <si>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</si>
  <si>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</si>
  <si>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</si>
  <si>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</si>
  <si>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</si>
  <si>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</si>
  <si>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</si>
  <si>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</si>
  <si>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</si>
  <si>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</si>
  <si>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</si>
  <si>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</si>
  <si>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</si>
  <si>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</si>
  <si>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</si>
  <si>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</si>
  <si>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</si>
  <si>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</si>
  <si>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</si>
  <si>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</si>
  <si>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</si>
  <si>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</si>
  <si>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</si>
  <si>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</si>
  <si>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</si>
  <si>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</si>
  <si>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</si>
  <si>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</si>
  <si>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</si>
  <si>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</si>
  <si>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</si>
  <si>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</si>
  <si>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</si>
  <si>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</si>
  <si>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</si>
  <si>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</si>
  <si>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</si>
  <si>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</si>
  <si>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</si>
  <si>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</si>
  <si>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</si>
  <si>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</si>
  <si>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</si>
  <si>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</si>
  <si>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</si>
  <si>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</si>
  <si>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</si>
  <si>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</si>
  <si>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</si>
  <si>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</si>
  <si>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</si>
  <si>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</si>
  <si>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</si>
  <si>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</si>
  <si>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</si>
  <si>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</si>
  <si>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</si>
  <si>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</si>
  <si>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</si>
  <si>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</si>
  <si>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</si>
  <si>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</si>
  <si>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</si>
  <si>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</si>
  <si>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</si>
  <si>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</si>
  <si>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</si>
  <si>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</si>
  <si>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</si>
  <si>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</si>
  <si>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</si>
  <si>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</si>
  <si>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</si>
  <si>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</si>
  <si>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</si>
  <si>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</si>
  <si>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</si>
  <si>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</si>
  <si>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</si>
  <si>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</si>
  <si>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</si>
  <si>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</si>
  <si>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</si>
  <si>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</si>
  <si>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</si>
  <si>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</si>
  <si>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</si>
  <si>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</si>
  <si>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</si>
  <si>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</si>
  <si>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</si>
  <si>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</si>
  <si>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</si>
  <si>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</si>
  <si>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</si>
  <si>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</si>
  <si>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</si>
  <si>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</si>
  <si>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</si>
  <si>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</si>
  <si>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</si>
  <si>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</si>
  <si>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</si>
  <si>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</si>
  <si>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</si>
  <si>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</si>
  <si>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</si>
  <si>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</si>
  <si>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</si>
  <si>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</si>
  <si>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</si>
  <si>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</si>
  <si>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</si>
  <si>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</si>
  <si>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</si>
  <si>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</si>
  <si>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</si>
  <si>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</si>
  <si>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</si>
  <si>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</si>
  <si>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</si>
  <si>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</si>
  <si>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</si>
  <si>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</si>
  <si>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</si>
  <si>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</si>
  <si>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</si>
  <si>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</si>
  <si>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</si>
  <si>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</si>
  <si>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</si>
  <si>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</si>
  <si>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</si>
  <si>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</si>
  <si>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</si>
  <si>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</si>
  <si>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</si>
  <si>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</si>
  <si>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</si>
  <si>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</si>
  <si>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</si>
  <si>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</si>
  <si>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</si>
  <si>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</si>
  <si>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</si>
  <si>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</si>
  <si>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</si>
  <si>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</si>
  <si>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</si>
  <si>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</si>
  <si>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</si>
  <si>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</si>
  <si>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</si>
  <si>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</si>
  <si>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</si>
  <si>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</si>
  <si>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</si>
  <si>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</si>
  <si>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</si>
  <si>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</si>
  <si>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</si>
  <si>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</si>
  <si>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</si>
  <si>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</si>
  <si>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</si>
  <si>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</si>
  <si>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</si>
  <si>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</si>
  <si>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</si>
  <si>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</si>
  <si>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</si>
  <si>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</si>
  <si>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</si>
  <si>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</si>
  <si>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</si>
  <si>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</si>
  <si>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</si>
  <si>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</si>
  <si>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</si>
  <si>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</si>
  <si>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</si>
  <si>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</si>
  <si>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</si>
  <si>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</si>
  <si>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</si>
  <si>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</si>
  <si>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</si>
  <si>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</si>
  <si>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</si>
  <si>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</si>
  <si>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</si>
  <si>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</si>
  <si>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</si>
  <si>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</si>
  <si>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</si>
  <si>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</si>
  <si>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</si>
  <si>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</si>
  <si>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</si>
  <si>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</si>
  <si>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</si>
  <si>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</si>
  <si>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</si>
  <si>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</si>
  <si>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</si>
  <si>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</si>
  <si>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</si>
  <si>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</si>
  <si>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</si>
  <si>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</si>
  <si>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</si>
  <si>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</si>
  <si>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</si>
  <si>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</si>
  <si>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</si>
  <si>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</si>
  <si>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</si>
  <si>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</si>
  <si>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</si>
  <si>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</si>
  <si>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</si>
  <si>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</si>
  <si>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</si>
  <si>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</si>
  <si>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</si>
  <si>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</si>
  <si>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</si>
  <si>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</si>
  <si>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</si>
  <si>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</si>
  <si>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</si>
  <si>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</si>
  <si>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</si>
  <si>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</si>
  <si>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</si>
  <si>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</si>
  <si>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</si>
  <si>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</si>
  <si>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</si>
  <si>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</si>
  <si>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</si>
  <si>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</si>
  <si>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</si>
  <si>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</si>
  <si>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</si>
  <si>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</si>
  <si>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</si>
  <si>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</si>
  <si>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</si>
  <si>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</si>
  <si>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</si>
  <si>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</si>
  <si>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</si>
  <si>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</si>
  <si>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</si>
  <si>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</si>
  <si>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</si>
  <si>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</si>
  <si>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</si>
  <si>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</si>
  <si>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</si>
  <si>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</si>
  <si>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</si>
  <si>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</si>
  <si>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</si>
  <si>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</si>
  <si>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</si>
  <si>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</si>
  <si>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</si>
  <si>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</si>
  <si>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</si>
  <si>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</si>
  <si>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</si>
  <si>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</si>
  <si>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</si>
  <si>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</si>
  <si>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</si>
  <si>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</si>
  <si>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</si>
  <si>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</si>
  <si>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</si>
  <si>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</si>
  <si>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</si>
  <si>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</si>
  <si>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</si>
  <si>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</si>
  <si>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</si>
  <si>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</si>
  <si>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</si>
  <si>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</si>
  <si>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</si>
  <si>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</si>
  <si>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</si>
  <si>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</si>
  <si>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</si>
  <si>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</si>
  <si>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</si>
  <si>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</si>
  <si>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</si>
  <si>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</si>
  <si>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</si>
  <si>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</si>
  <si>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</si>
  <si>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</si>
  <si>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</si>
  <si>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</si>
  <si>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</si>
  <si>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</si>
  <si>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</si>
  <si>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</si>
  <si>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</si>
  <si>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</si>
  <si>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</si>
  <si>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</si>
  <si>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</si>
  <si>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</si>
  <si>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</si>
  <si>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</si>
  <si>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</si>
  <si>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</si>
  <si>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</si>
  <si>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</si>
  <si>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</si>
  <si>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</si>
  <si>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</si>
  <si>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</si>
  <si>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</si>
  <si>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</si>
  <si>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</si>
  <si>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</si>
  <si>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</si>
  <si>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</si>
  <si>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</si>
  <si>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</si>
  <si>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</si>
  <si>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</si>
  <si>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</si>
  <si>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</si>
  <si>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</si>
  <si>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</si>
  <si>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</si>
  <si>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</si>
  <si>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</si>
  <si>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</si>
  <si>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</si>
  <si>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</si>
  <si>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</si>
  <si>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</si>
  <si>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</si>
  <si>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</si>
  <si>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</si>
  <si>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</si>
  <si>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</si>
  <si>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</si>
  <si>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</si>
  <si>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</si>
  <si>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</si>
  <si>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</si>
  <si>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</si>
  <si>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</si>
  <si>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</si>
  <si>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</si>
  <si>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</si>
  <si>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</si>
  <si>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</si>
  <si>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</si>
  <si>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</si>
  <si>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</si>
  <si>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</si>
  <si>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</si>
  <si>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</si>
  <si>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</si>
  <si>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</si>
  <si>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</si>
  <si>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</si>
  <si>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</si>
  <si>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</si>
  <si>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</si>
  <si>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</si>
  <si>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</si>
  <si>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</si>
  <si>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</si>
  <si>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</si>
  <si>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</si>
  <si>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</si>
  <si>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</si>
  <si>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</si>
  <si>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</si>
  <si>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</si>
  <si>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</si>
  <si>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</si>
  <si>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</si>
  <si>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</si>
  <si>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</si>
  <si>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</si>
  <si>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</si>
  <si>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</si>
  <si>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</si>
  <si>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</si>
  <si>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</si>
  <si>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</si>
  <si>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</si>
  <si>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</si>
  <si>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</si>
  <si>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</si>
  <si>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</si>
  <si>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</si>
  <si>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</si>
  <si>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</si>
  <si>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</si>
  <si>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</si>
  <si>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</si>
  <si>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</si>
  <si>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</si>
  <si>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</si>
  <si>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</si>
  <si>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</si>
  <si>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Average Donation</t>
  </si>
  <si>
    <t>Percent Funded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</si>
  <si>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</si>
  <si>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</si>
  <si>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</si>
  <si>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</si>
  <si>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</si>
  <si>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</si>
  <si>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</si>
  <si>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</si>
  <si>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</si>
  <si>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</si>
  <si>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</si>
  <si>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</si>
  <si>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</si>
  <si>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</si>
  <si>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</si>
  <si>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</si>
  <si>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</si>
  <si>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</si>
  <si>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</si>
  <si>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</si>
  <si>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</si>
  <si>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</si>
  <si>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</si>
  <si>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</si>
  <si>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</si>
  <si>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</si>
  <si>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</si>
  <si>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</si>
  <si>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</si>
  <si>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</si>
  <si>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</si>
  <si>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</si>
  <si>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</si>
  <si>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(All)</t>
  </si>
  <si>
    <t>Row Labels</t>
  </si>
  <si>
    <t>Grand Total</t>
  </si>
  <si>
    <t>Column Labels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</si>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</sst>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theme="1"/>
      </font>
      <fill>
        <patternFill>
          <bgColor rgb="FFFFA7B1"/>
        </patternFill>
      </fill>
    </dxf>
    <dxf>
      <font>
        <color theme="1"/>
      </font>
      <fill>
        <patternFill>
          <bgColor rgb="FF9AE2A8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FFA7B1"/>
        </patternFill>
      </fill>
    </dxf>
    <dxf>
      <font>
        <color theme="1"/>
      </font>
      <fill>
        <patternFill>
          <bgColor rgb="FF9AE2A8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FFA7B1"/>
          <bgColor rgb="FF000000"/>
        </patternFill>
      </fill>
    </dxf>
    <dxf>
      <font>
        <color theme="1"/>
      </font>
      <fill>
        <patternFill>
          <bgColor rgb="FFFFA7B1"/>
        </patternFill>
      </fill>
    </dxf>
    <dxf>
      <font>
        <color theme="1"/>
      </font>
      <fill>
        <patternFill>
          <bgColor rgb="FF9AE2A8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6D6D"/>
      <color rgb="FF00D05E"/>
      <color rgb="FFFFA7B1"/>
      <color rgb="FF9AE2A8"/>
      <color rgb="FFFABE00"/>
      <color rgb="FF008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C-4470-A619-C560FA23367F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C-4470-A619-C560FA23367F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C-4470-A619-C560FA23367F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C-4470-A619-C560FA233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67343"/>
        <c:axId val="564557007"/>
      </c:barChart>
      <c:catAx>
        <c:axId val="5046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57007"/>
        <c:crosses val="autoZero"/>
        <c:auto val="1"/>
        <c:lblAlgn val="ctr"/>
        <c:lblOffset val="100"/>
        <c:noMultiLvlLbl val="0"/>
      </c:catAx>
      <c:valAx>
        <c:axId val="5645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8-4B5D-BBBF-27A11DD7138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8-4B5D-BBBF-27A11DD7138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8-4B5D-BBBF-27A11DD7138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8-4B5D-BBBF-27A11DD7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79919"/>
        <c:axId val="35081999"/>
      </c:barChart>
      <c:catAx>
        <c:axId val="350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1999"/>
        <c:crosses val="autoZero"/>
        <c:auto val="1"/>
        <c:lblAlgn val="ctr"/>
        <c:lblOffset val="100"/>
        <c:noMultiLvlLbl val="0"/>
      </c:catAx>
      <c:valAx>
        <c:axId val="350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!PivotTable6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6D6D"/>
            </a:solidFill>
            <a:round/>
          </a:ln>
          <a:effectLst/>
        </c:spPr>
        <c:marker>
          <c:symbol val="circle"/>
          <c:size val="5"/>
          <c:spPr>
            <a:solidFill>
              <a:srgbClr val="FF6D6D"/>
            </a:solidFill>
            <a:ln w="9525">
              <a:solidFill>
                <a:srgbClr val="FF6D6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E-4FC3-8AFE-58070B69C5C6}"/>
            </c:ext>
          </c:extLst>
        </c:ser>
        <c:ser>
          <c:idx val="1"/>
          <c:order val="1"/>
          <c:tx>
            <c:strRef>
              <c:f>'Date Created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6D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D6D"/>
              </a:solidFill>
              <a:ln w="9525">
                <a:solidFill>
                  <a:srgbClr val="FF6D6D"/>
                </a:solidFill>
              </a:ln>
              <a:effectLst/>
            </c:spPr>
          </c:marker>
          <c:cat>
            <c:strRef>
              <c:f>'Date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E-4FC3-8AFE-58070B69C5C6}"/>
            </c:ext>
          </c:extLst>
        </c:ser>
        <c:ser>
          <c:idx val="2"/>
          <c:order val="2"/>
          <c:tx>
            <c:strRef>
              <c:f>'Date Created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E-4FC3-8AFE-58070B69C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963455"/>
        <c:axId val="719964703"/>
      </c:lineChart>
      <c:catAx>
        <c:axId val="71996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4703"/>
        <c:crosses val="autoZero"/>
        <c:auto val="1"/>
        <c:lblAlgn val="ctr"/>
        <c:lblOffset val="100"/>
        <c:noMultiLvlLbl val="0"/>
      </c:catAx>
      <c:valAx>
        <c:axId val="7199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3-49E8-96A0-4D624ED8BFC2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3-49E8-96A0-4D624ED8BFC2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3-49E8-96A0-4D624ED8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254831"/>
        <c:axId val="1310249423"/>
      </c:lineChart>
      <c:catAx>
        <c:axId val="13102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49423"/>
        <c:crosses val="autoZero"/>
        <c:auto val="1"/>
        <c:lblAlgn val="ctr"/>
        <c:lblOffset val="100"/>
        <c:noMultiLvlLbl val="0"/>
      </c:catAx>
      <c:valAx>
        <c:axId val="13102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5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0</xdr:row>
      <xdr:rowOff>123825</xdr:rowOff>
    </xdr:from>
    <xdr:to>
      <xdr:col>13</xdr:col>
      <xdr:colOff>409575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3C80D-354F-E092-FBB8-EDC7F994C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109536</xdr:colOff>
      <xdr:row>3</xdr:row>
      <xdr:rowOff>9526</xdr:rowOff>
    </xdr:from>
    <xdr:to>
      <xdr:col>16</xdr:col>
      <xdr:colOff>209550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9402-AB5E-FE6F-C687-C21160CAE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2</xdr:row>
      <xdr:rowOff>161925</xdr:rowOff>
    </xdr:from>
    <xdr:to>
      <xdr:col>10</xdr:col>
      <xdr:colOff>66675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B5598-502C-6D34-E22F-6B770CF4E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66675</xdr:rowOff>
    </xdr:from>
    <xdr:to>
      <xdr:col>7</xdr:col>
      <xdr:colOff>1409699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FF968-1C8E-4C9C-0979-555EC5665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chirbat Munkhchuluun" refreshedDate="44975.81038333333" createdVersion="8" refreshedVersion="8" minRefreshableVersion="3" recordCount="1000" xr:uid="{4EC424F7-ECEB-448D-9C4E-8974EF76423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chirbat Munkhchuluun" refreshedDate="44975.82675601852" backgroundQuery="1" createdVersion="8" refreshedVersion="8" minRefreshableVersion="3" recordCount="0" supportSubquery="1" supportAdvancedDrill="1" xr:uid="{7F548235-A329-4FFD-8E52-56D8DC38CFCE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31" level="32767"/>
  </cacheFields>
  <cacheHierarchies count="3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0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0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ercent Funded]" caption="Sum of Percent Fund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50425-6752-4709-A015-FE6717E689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E711A-00F8-4C4C-9561-B3C5459389F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B0937-7E52-4DB8-A021-13112289870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2" hier="20" name="[Range].[Date Created Conversion (Year)].[All]" cap="All"/>
  </pageFields>
  <dataFields count="1">
    <dataField name="Count of outcome" fld="4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F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" bestFit="1" customWidth="1"/>
    <col min="9" max="9" width="16.125" bestFit="1" customWidth="1"/>
    <col min="12" max="13" width="11.125" bestFit="1" customWidth="1"/>
    <col min="14" max="14" width="22.125" bestFit="1" customWidth="1"/>
    <col min="15" max="15" width="21" bestFit="1" customWidth="1"/>
    <col min="18" max="18" width="28" bestFit="1" customWidth="1"/>
    <col min="19" max="19" width="14.75" bestFit="1" customWidth="1"/>
    <col min="20" max="20" width="1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2032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2042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2043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2044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2043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2045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2046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2045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2045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2047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2048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2045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2049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2049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2050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2038</v>
      </c>
      <c r="T18" t="s">
        <v>2051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2052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2045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2045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2048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2045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2045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2046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2050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2039</v>
      </c>
      <c r="T27" t="s">
        <v>2053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2045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2043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2054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2052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2039</v>
      </c>
      <c r="T33" t="s">
        <v>2053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2046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2046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2048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2045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2038</v>
      </c>
      <c r="T39" t="s">
        <v>2055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2040</v>
      </c>
      <c r="T40" t="s">
        <v>2056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2045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2050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2043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2042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2038</v>
      </c>
      <c r="T45" t="s">
        <v>2057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2038</v>
      </c>
      <c r="T46" t="s">
        <v>2055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2043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2045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2045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2043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2058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2050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2045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2048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2050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2059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2050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2039</v>
      </c>
      <c r="T59" t="s">
        <v>2053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2045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2045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2045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2045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2044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2045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2044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2045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2050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2045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2052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2059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2040</v>
      </c>
      <c r="T77" t="s">
        <v>2056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2045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2052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2038</v>
      </c>
      <c r="T80" t="s">
        <v>2060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2045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2039</v>
      </c>
      <c r="T82" t="s">
        <v>2053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2043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2039</v>
      </c>
      <c r="T84" t="s">
        <v>2053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2047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2050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2049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2045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2043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2038</v>
      </c>
      <c r="T90" t="s">
        <v>2060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2045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2038</v>
      </c>
      <c r="T93" t="s">
        <v>2060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2039</v>
      </c>
      <c r="T94" t="s">
        <v>2053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2045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2044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2046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2045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2042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2039</v>
      </c>
      <c r="T100" t="s">
        <v>2053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2045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2047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2050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2047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2049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2044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2045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2045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2061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2042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2038</v>
      </c>
      <c r="T113" t="s">
        <v>2057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2044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2042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2050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2038</v>
      </c>
      <c r="T117" t="s">
        <v>2055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2045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2061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2040</v>
      </c>
      <c r="T120" t="s">
        <v>2056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2039</v>
      </c>
      <c r="T122" t="s">
        <v>2062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2039</v>
      </c>
      <c r="T123" t="s">
        <v>2053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2038</v>
      </c>
      <c r="T124" t="s">
        <v>2055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2040</v>
      </c>
      <c r="T126" t="s">
        <v>2056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2045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2045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2045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2043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4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2042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2048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2044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2063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2045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2048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2038</v>
      </c>
      <c r="T139" t="s">
        <v>2051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2039</v>
      </c>
      <c r="T140" t="s">
        <v>2062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2050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2046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2044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2044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2049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2045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2050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2045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2050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2049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2043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2047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2049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2045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2049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2045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2043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2040</v>
      </c>
      <c r="T159" t="s">
        <v>2056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2043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2045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2050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2044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2043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2040</v>
      </c>
      <c r="T165" t="s">
        <v>2056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2045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2044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2040</v>
      </c>
      <c r="T168" t="s">
        <v>2056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2045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2049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2054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2049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2038</v>
      </c>
      <c r="T173" t="s">
        <v>2060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2045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2050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2045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2045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2042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2045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2050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2044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2045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2043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2045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2061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2045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2054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2045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2045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2043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2049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2047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2050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2047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2043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2045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2044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2042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2059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2045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2038</v>
      </c>
      <c r="T208" t="s">
        <v>2055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2043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2046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2046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2064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2045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2049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2043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2064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2054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2052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2045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2042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2040</v>
      </c>
      <c r="T224" t="s">
        <v>2056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2045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2064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2043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2040</v>
      </c>
      <c r="T228" t="s">
        <v>2056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2039</v>
      </c>
      <c r="T229" t="s">
        <v>2062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2052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2039</v>
      </c>
      <c r="T231" t="s">
        <v>2062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2039</v>
      </c>
      <c r="T232" t="s">
        <v>2053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2045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2045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2052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2039</v>
      </c>
      <c r="T236" t="s">
        <v>2053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2052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2043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2052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2050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2045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2038</v>
      </c>
      <c r="T243" t="s">
        <v>2051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2043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2045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2045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2044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2038</v>
      </c>
      <c r="T249" t="s">
        <v>2055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2039</v>
      </c>
      <c r="T250" t="s">
        <v>2062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2038</v>
      </c>
      <c r="T251" t="s">
        <v>2060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2043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2045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2048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2038</v>
      </c>
      <c r="T256" t="s">
        <v>2051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2043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2043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2045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2040</v>
      </c>
      <c r="T261" t="s">
        <v>2056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2043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2043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2049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2040</v>
      </c>
      <c r="T265" t="s">
        <v>2056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2059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2046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2061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2039</v>
      </c>
      <c r="T272" t="s">
        <v>2053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2040</v>
      </c>
      <c r="T273" t="s">
        <v>2056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2045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2045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2038</v>
      </c>
      <c r="T277" t="s">
        <v>2060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2039</v>
      </c>
      <c r="T278" t="s">
        <v>2053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2045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2044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2045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2052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2045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2061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2043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2044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2045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2047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2058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2045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2044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2042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2045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2043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2042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2038</v>
      </c>
      <c r="T302" t="s">
        <v>2051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2046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2045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2049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2046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2045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2045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2038</v>
      </c>
      <c r="T309" t="s">
        <v>2055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2045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2049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2039</v>
      </c>
      <c r="T312" t="s">
        <v>2053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2045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2043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2046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2045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2042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2045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2043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2044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2038</v>
      </c>
      <c r="T322" t="s">
        <v>2055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2054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2045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2045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2052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2045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2043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2039</v>
      </c>
      <c r="T331" t="s">
        <v>2053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2046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2042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2050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2043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2043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2043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2045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2045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2040</v>
      </c>
      <c r="T342" t="s">
        <v>2056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2049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2045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2039</v>
      </c>
      <c r="T346" t="s">
        <v>2053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2049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2044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2042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2045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2059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2043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2045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2050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2039</v>
      </c>
      <c r="T359" t="s">
        <v>2053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2040</v>
      </c>
      <c r="T360" t="s">
        <v>2056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2052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2045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2043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2043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2049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2061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2045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2045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2046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2045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2046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2049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2043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2046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2045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2045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2040</v>
      </c>
      <c r="T384" t="s">
        <v>2056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2042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2046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2038</v>
      </c>
      <c r="T387" t="s">
        <v>2051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2045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2050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2049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2040</v>
      </c>
      <c r="T392" t="s">
        <v>2056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2038</v>
      </c>
      <c r="T393" t="s">
        <v>2051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2050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2059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2043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2052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2049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2040</v>
      </c>
      <c r="T402" t="s">
        <v>2056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2045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2054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2045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2045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2046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2045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2046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2043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2039</v>
      </c>
      <c r="T412" t="s">
        <v>2062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2045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2038</v>
      </c>
      <c r="T414" t="s">
        <v>2055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2052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2042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2046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2044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2045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2050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2045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2042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2049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2040</v>
      </c>
      <c r="T427" t="s">
        <v>2056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2045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2052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2040</v>
      </c>
      <c r="T431" t="s">
        <v>2056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2045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2045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2045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2046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2059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2052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2045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2064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2061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2050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2045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2045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2049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2050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2061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2039</v>
      </c>
      <c r="T450" t="s">
        <v>2053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2039</v>
      </c>
      <c r="T451" t="s">
        <v>2053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2052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2043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2048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2064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2048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2045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2049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2045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2045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2046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2045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2048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2039</v>
      </c>
      <c r="T464" t="s">
        <v>2062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2052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2038</v>
      </c>
      <c r="T467" t="s">
        <v>2060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2050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2044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2045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2050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2042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2043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2047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2061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2038</v>
      </c>
      <c r="T477" t="s">
        <v>2060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2038</v>
      </c>
      <c r="T478" t="s">
        <v>2055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2064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2050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2042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2040</v>
      </c>
      <c r="T482" t="s">
        <v>2056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2038</v>
      </c>
      <c r="T484" t="s">
        <v>2055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2042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2045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2038</v>
      </c>
      <c r="T488" t="s">
        <v>2060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2045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2050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2041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2042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2054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2040</v>
      </c>
      <c r="T495" t="s">
        <v>2056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2050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2045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2052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2050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2044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2046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2045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2039</v>
      </c>
      <c r="T504" t="s">
        <v>2053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2043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2038</v>
      </c>
      <c r="T507" t="s">
        <v>2057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2044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2045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2045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2045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2039</v>
      </c>
      <c r="T514" t="s">
        <v>2053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4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2061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2043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2038</v>
      </c>
      <c r="T518" t="s">
        <v>2051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2042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2052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2043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2045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2054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2054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2045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2050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2052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2049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2039</v>
      </c>
      <c r="T531" t="s">
        <v>2053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2038</v>
      </c>
      <c r="T532" t="s">
        <v>2055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2039</v>
      </c>
      <c r="T533" t="s">
        <v>2053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2049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2045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2038</v>
      </c>
      <c r="T538" t="s">
        <v>2055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2046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2039</v>
      </c>
      <c r="T540" t="s">
        <v>2062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2042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2040</v>
      </c>
      <c r="T542" t="s">
        <v>2056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2039</v>
      </c>
      <c r="T543" t="s">
        <v>2062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2049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2039</v>
      </c>
      <c r="T545" t="s">
        <v>2053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2043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2045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2048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2045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2050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2049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2044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2043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2049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2043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2038</v>
      </c>
      <c r="T558" t="s">
        <v>2060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2064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2045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2045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2052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2045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2043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2046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2045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2047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2043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2045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2052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2043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2054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2043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2041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2042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2045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4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2059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2064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2059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2044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2039</v>
      </c>
      <c r="T584" t="s">
        <v>2053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2046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2044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2038</v>
      </c>
      <c r="T587" t="s">
        <v>2060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2043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2042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2045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2046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2038</v>
      </c>
      <c r="T592" t="s">
        <v>2057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2039</v>
      </c>
      <c r="T593" t="s">
        <v>2053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2045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2052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2045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2045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2048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2043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2046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2042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2050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2045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2045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2038</v>
      </c>
      <c r="T607" t="s">
        <v>2051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2043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2042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2059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2064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2045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2047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2045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2045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2049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2045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2038</v>
      </c>
      <c r="T620" t="s">
        <v>2051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2045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2040</v>
      </c>
      <c r="T622" t="s">
        <v>2056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2045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2049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2045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2040</v>
      </c>
      <c r="T626" t="s">
        <v>2056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2045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2042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2049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2045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2045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2045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2052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2061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2061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2052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2045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2045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2050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2045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2043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2039</v>
      </c>
      <c r="T648" t="s">
        <v>2053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2038</v>
      </c>
      <c r="T649" t="s">
        <v>2060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2042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2045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2059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2054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2044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2044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2040</v>
      </c>
      <c r="T657" t="s">
        <v>2056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2042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2064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2043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2046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2045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2059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2045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2059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2045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2041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2045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2045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2049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2045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2045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2049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2040</v>
      </c>
      <c r="T676" t="s">
        <v>2056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2041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2040</v>
      </c>
      <c r="T678" t="s">
        <v>2056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2038</v>
      </c>
      <c r="T679" t="s">
        <v>2055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2048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2042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2039</v>
      </c>
      <c r="T682" t="s">
        <v>2062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2045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2038</v>
      </c>
      <c r="T686" t="s">
        <v>2051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2045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2050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2045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2061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2044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2046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2043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2045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2043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2045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2047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2050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2050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2045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2050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2038</v>
      </c>
      <c r="T705" t="s">
        <v>2060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2052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2038</v>
      </c>
      <c r="T707" t="s">
        <v>2051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2044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2048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2045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2045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2045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2045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2038</v>
      </c>
      <c r="T715" t="s">
        <v>2057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2043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2039</v>
      </c>
      <c r="T717" t="s">
        <v>2062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2045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2050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2038</v>
      </c>
      <c r="T721" t="s">
        <v>2055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2043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2046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2045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2045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2039</v>
      </c>
      <c r="T727" t="s">
        <v>2062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2045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2044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2045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2048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2050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2044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2043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2058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2040</v>
      </c>
      <c r="T737" t="s">
        <v>2056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2038</v>
      </c>
      <c r="T738" t="s">
        <v>2051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2049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2049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2045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2047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2045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2045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2050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2044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2045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2052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2050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2047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2038</v>
      </c>
      <c r="T753" t="s">
        <v>2051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2045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2040</v>
      </c>
      <c r="T755" t="s">
        <v>2056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2048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2043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2047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2039</v>
      </c>
      <c r="T762" t="s">
        <v>2053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2043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2059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2045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2043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2049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2064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2038</v>
      </c>
      <c r="T769" t="s">
        <v>2060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2039</v>
      </c>
      <c r="T771" t="s">
        <v>2053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2045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2049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2045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2044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2043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2045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2045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2052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2045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2052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2043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2044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2052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2059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2043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2052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2045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2042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2045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2038</v>
      </c>
      <c r="T795" t="s">
        <v>2051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2043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2039</v>
      </c>
      <c r="T798" t="s">
        <v>2062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2044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2045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2043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2040</v>
      </c>
      <c r="T803" t="s">
        <v>2056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2040</v>
      </c>
      <c r="T804" t="s">
        <v>2056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2043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2046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2048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2042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2039</v>
      </c>
      <c r="T813" t="s">
        <v>2053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2038</v>
      </c>
      <c r="T814" t="s">
        <v>2051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2039</v>
      </c>
      <c r="T815" t="s">
        <v>2053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2043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2043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2038</v>
      </c>
      <c r="T819" t="s">
        <v>2051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2039</v>
      </c>
      <c r="T821" t="s">
        <v>2053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2043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2046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2043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2043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2038</v>
      </c>
      <c r="T826" t="s">
        <v>2051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2054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2048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2045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2045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2040</v>
      </c>
      <c r="T833" t="s">
        <v>2056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2038</v>
      </c>
      <c r="T834" t="s">
        <v>2060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2038</v>
      </c>
      <c r="T835" t="s">
        <v>2060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2045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2044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2049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2059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2045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2045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2044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2050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2040</v>
      </c>
      <c r="T845" t="s">
        <v>2056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2046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2044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2044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2042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2048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2049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2043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2047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2039</v>
      </c>
      <c r="T854" t="s">
        <v>2053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2049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2038</v>
      </c>
      <c r="T856" t="s">
        <v>2055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2045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2042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2054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2042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2045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2050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2045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2045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2061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2054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2045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2040</v>
      </c>
      <c r="T868" t="s">
        <v>2056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2042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2045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2048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2045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2064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2040</v>
      </c>
      <c r="T875" t="s">
        <v>2056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2040</v>
      </c>
      <c r="T876" t="s">
        <v>2056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2043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2040</v>
      </c>
      <c r="T878" t="s">
        <v>2056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2042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2058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2038</v>
      </c>
      <c r="T881" t="s">
        <v>2051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2047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2045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2054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2045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2045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2049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2045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2045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2047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2049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2046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2038</v>
      </c>
      <c r="T894" t="s">
        <v>2060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2046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2061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2042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2045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2046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2059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2044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2043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2044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2038</v>
      </c>
      <c r="T905" t="s">
        <v>2051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2038</v>
      </c>
      <c r="T906" t="s">
        <v>2057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2045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2046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2045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2039</v>
      </c>
      <c r="T910" t="s">
        <v>2053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2045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2044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2048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2045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2061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2040</v>
      </c>
      <c r="T918" t="s">
        <v>2056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2054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2038</v>
      </c>
      <c r="T920" t="s">
        <v>2057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2052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2044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2063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2045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2045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2042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2045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2044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2045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2045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2043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2045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2045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2045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2046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2038</v>
      </c>
      <c r="T940" t="s">
        <v>2055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2039</v>
      </c>
      <c r="T941" t="s">
        <v>2053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2044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2042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2040</v>
      </c>
      <c r="T946" t="s">
        <v>2056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2040</v>
      </c>
      <c r="T947" t="s">
        <v>2056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2045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2045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2046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2044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2045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2043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2046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2064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2044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2064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2052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2038</v>
      </c>
      <c r="T961" t="s">
        <v>2060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2044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2038</v>
      </c>
      <c r="T963" t="s">
        <v>2060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2042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2040</v>
      </c>
      <c r="T965" t="s">
        <v>2056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2045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2043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2045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2063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2042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2045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2061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2044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2049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2042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2039</v>
      </c>
      <c r="T980" t="s">
        <v>2053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2045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2038</v>
      </c>
      <c r="T982" t="s">
        <v>2051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2044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2046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2045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2043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2043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2046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2038</v>
      </c>
      <c r="T990" t="s">
        <v>2057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2038</v>
      </c>
      <c r="T991" t="s">
        <v>2060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2043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2040</v>
      </c>
      <c r="T995" t="s">
        <v>2056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2038</v>
      </c>
      <c r="T996" t="s">
        <v>2060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2042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2045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2045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2049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2042</v>
      </c>
    </row>
  </sheetData>
  <conditionalFormatting sqref="G2:G1001">
    <cfRule type="containsText" dxfId="12" priority="2" operator="containsText" text="canceled">
      <formula>NOT(ISERROR(SEARCH("canceled",G2)))</formula>
    </cfRule>
    <cfRule type="containsText" dxfId="11" priority="3" operator="containsText" text="live">
      <formula>NOT(ISERROR(SEARCH("live",G2)))</formula>
    </cfRule>
    <cfRule type="containsText" dxfId="10" priority="4" operator="containsText" text="successful">
      <formula>NOT(ISERROR(SEARCH("successful",G2)))</formula>
    </cfRule>
    <cfRule type="containsText" dxfId="9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min"/>
        <cfvo type="num" val="100"/>
        <cfvo type="num" val="200"/>
        <color rgb="FFFF6D6D"/>
        <color rgb="FF00D05E"/>
        <color rgb="FF0088EE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B747-20B8-40D9-B2D0-F098244552F0}">
  <dimension ref="A2:F15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6" t="s">
        <v>6</v>
      </c>
      <c r="B2" t="s">
        <v>2066</v>
      </c>
    </row>
    <row r="4" spans="1:6" x14ac:dyDescent="0.25">
      <c r="A4" s="6" t="s">
        <v>2070</v>
      </c>
      <c r="B4" s="6" t="s">
        <v>2069</v>
      </c>
    </row>
    <row r="5" spans="1:6" x14ac:dyDescent="0.2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2037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2039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2041</v>
      </c>
      <c r="E9">
        <v>4</v>
      </c>
      <c r="F9">
        <v>4</v>
      </c>
    </row>
    <row r="10" spans="1:6" x14ac:dyDescent="0.25">
      <c r="A10" s="7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2040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2038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2036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67DB-0529-4D22-B639-89B7F41C63BD}">
  <dimension ref="A1:F30"/>
  <sheetViews>
    <sheetView workbookViewId="0">
      <selection activeCell="F29" sqref="F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2066</v>
      </c>
    </row>
    <row r="2" spans="1:6" x14ac:dyDescent="0.25">
      <c r="A2" s="6" t="s">
        <v>2029</v>
      </c>
      <c r="B2" t="s">
        <v>2066</v>
      </c>
    </row>
    <row r="4" spans="1:6" x14ac:dyDescent="0.25">
      <c r="A4" s="6" t="s">
        <v>2070</v>
      </c>
      <c r="B4" s="6" t="s">
        <v>2069</v>
      </c>
    </row>
    <row r="5" spans="1:6" x14ac:dyDescent="0.2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2047</v>
      </c>
      <c r="C10">
        <v>8</v>
      </c>
      <c r="E10">
        <v>10</v>
      </c>
      <c r="F10">
        <v>18</v>
      </c>
    </row>
    <row r="11" spans="1:6" x14ac:dyDescent="0.25">
      <c r="A11" s="7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2042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2049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2058</v>
      </c>
      <c r="C15">
        <v>3</v>
      </c>
      <c r="E15">
        <v>4</v>
      </c>
      <c r="F15">
        <v>7</v>
      </c>
    </row>
    <row r="16" spans="1:6" x14ac:dyDescent="0.25">
      <c r="A16" s="7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2057</v>
      </c>
      <c r="C20">
        <v>4</v>
      </c>
      <c r="E20">
        <v>4</v>
      </c>
      <c r="F20">
        <v>8</v>
      </c>
    </row>
    <row r="21" spans="1:6" x14ac:dyDescent="0.25">
      <c r="A21" s="7" t="s">
        <v>2043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2064</v>
      </c>
      <c r="C22">
        <v>9</v>
      </c>
      <c r="E22">
        <v>5</v>
      </c>
      <c r="F22">
        <v>14</v>
      </c>
    </row>
    <row r="23" spans="1:6" x14ac:dyDescent="0.25">
      <c r="A23" s="7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2060</v>
      </c>
      <c r="C25">
        <v>7</v>
      </c>
      <c r="E25">
        <v>14</v>
      </c>
      <c r="F25">
        <v>21</v>
      </c>
    </row>
    <row r="26" spans="1:6" x14ac:dyDescent="0.25">
      <c r="A26" s="7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2050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2044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2063</v>
      </c>
      <c r="E29">
        <v>3</v>
      </c>
      <c r="F29">
        <v>3</v>
      </c>
    </row>
    <row r="30" spans="1:6" x14ac:dyDescent="0.2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C194-4C57-40B3-BDB7-85E6933127A1}">
  <dimension ref="A1:E18"/>
  <sheetViews>
    <sheetView workbookViewId="0">
      <selection activeCell="E4" sqref="A4:E18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878" width="15.25" bestFit="1" customWidth="1"/>
    <col min="879" max="880" width="11" bestFit="1" customWidth="1"/>
  </cols>
  <sheetData>
    <row r="1" spans="1:5" x14ac:dyDescent="0.25">
      <c r="A1" s="6" t="s">
        <v>2029</v>
      </c>
      <c r="B1" t="s" vm="1">
        <v>2085</v>
      </c>
    </row>
    <row r="2" spans="1:5" x14ac:dyDescent="0.25">
      <c r="A2" s="6" t="s">
        <v>2086</v>
      </c>
      <c r="B2" t="s" vm="2">
        <v>2085</v>
      </c>
    </row>
    <row r="4" spans="1:5" x14ac:dyDescent="0.25">
      <c r="A4" s="6" t="s">
        <v>2070</v>
      </c>
      <c r="B4" s="6" t="s">
        <v>2069</v>
      </c>
    </row>
    <row r="5" spans="1:5" x14ac:dyDescent="0.25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C38B-DE62-4A53-AA51-7E7FD1865DE3}">
  <dimension ref="A1:H13"/>
  <sheetViews>
    <sheetView topLeftCell="A2" workbookViewId="0">
      <selection activeCell="I27" sqref="I27"/>
    </sheetView>
  </sheetViews>
  <sheetFormatPr defaultRowHeight="15.75" x14ac:dyDescent="0.25"/>
  <cols>
    <col min="1" max="1" width="26.375" bestFit="1" customWidth="1"/>
    <col min="2" max="2" width="16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5.875" bestFit="1" customWidth="1"/>
    <col min="8" max="8" width="18.875" bestFit="1" customWidth="1"/>
  </cols>
  <sheetData>
    <row r="1" spans="1:8" x14ac:dyDescent="0.25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9" t="s">
        <v>2092</v>
      </c>
      <c r="G1" s="9" t="s">
        <v>2093</v>
      </c>
      <c r="H1" s="9" t="s">
        <v>2094</v>
      </c>
    </row>
    <row r="2" spans="1:8" x14ac:dyDescent="0.25">
      <c r="A2" t="s">
        <v>2095</v>
      </c>
      <c r="B2">
        <f>COUNTIFS(Crowdfunding!$G$2:$G$1001,"successful",Crowdfunding!$D$2:$D$1001, "&lt;1000")</f>
        <v>30</v>
      </c>
      <c r="C2">
        <f>COUNTIFS(Crowdfunding!$G$2:$G$1001,"failed",Crowdfunding!$D$2:$D$1001, "&lt;1000")</f>
        <v>20</v>
      </c>
      <c r="D2">
        <f>COUNTIFS(Crowdfunding!$G$2:$G$1001,"canceled",Crowdfunding!$D$2:$D$1001, "&lt;1000")</f>
        <v>1</v>
      </c>
      <c r="E2">
        <f>B2+C2+D2</f>
        <v>51</v>
      </c>
      <c r="F2" s="10">
        <f>B2/$E$2</f>
        <v>0.58823529411764708</v>
      </c>
      <c r="G2" s="10">
        <f t="shared" ref="G2:H2" si="0">C2/$E$2</f>
        <v>0.39215686274509803</v>
      </c>
      <c r="H2" s="10">
        <f t="shared" si="0"/>
        <v>1.9607843137254902E-2</v>
      </c>
    </row>
    <row r="3" spans="1:8" x14ac:dyDescent="0.25">
      <c r="A3" t="s">
        <v>2096</v>
      </c>
      <c r="B3">
        <f>COUNTIFS(Crowdfunding!$G$2:$G$1001,"successful",Crowdfunding!$D$2:$D$1001, "&gt;=1000",Crowdfunding!$D$2:$D$1001, "&lt;=4999")</f>
        <v>191</v>
      </c>
      <c r="C3">
        <f>COUNTIFS(Crowdfunding!$G$2:$G$1001,"failed",Crowdfunding!$D$2:$D$1001, "&gt;=1000",Crowdfunding!$D$2:$D$1001, "&lt;=4999")</f>
        <v>38</v>
      </c>
      <c r="D3">
        <f>COUNTIFS(Crowdfunding!$G$2:$G$1001,"canceled",Crowdfunding!$D$2:$D$1001, "&gt;=1000",Crowdfunding!$D$2:$D$1001, "&lt;=4999")</f>
        <v>2</v>
      </c>
      <c r="E3">
        <f t="shared" ref="E3:E13" si="1">B3+C3+D3</f>
        <v>231</v>
      </c>
      <c r="F3" s="10">
        <f t="shared" ref="F3:F13" si="2">B3/E3</f>
        <v>0.82683982683982682</v>
      </c>
      <c r="G3" s="10">
        <f>C3/E3</f>
        <v>0.16450216450216451</v>
      </c>
      <c r="H3" s="10">
        <f>D3/E3</f>
        <v>8.658008658008658E-3</v>
      </c>
    </row>
    <row r="4" spans="1:8" x14ac:dyDescent="0.25">
      <c r="A4" t="s">
        <v>2097</v>
      </c>
      <c r="B4">
        <f>COUNTIFS(Crowdfunding!$G$2:$G$1001,"successful",Crowdfunding!$D$2:$D$1001, "&gt;=5000",Crowdfunding!$D$2:$D$1001, "&lt;=9999")</f>
        <v>164</v>
      </c>
      <c r="C4">
        <f>COUNTIFS(Crowdfunding!$G$2:$G$1001,"failed",Crowdfunding!$D$2:$D$1001, "&gt;=5000",Crowdfunding!$D$2:$D$1001, "&lt;=9999")</f>
        <v>126</v>
      </c>
      <c r="D4">
        <f>COUNTIFS(Crowdfunding!$G$2:$G$1001,"canceled",Crowdfunding!$D$2:$D$1001, "&gt;=5000",Crowdfunding!$D$2:$D$1001, "&lt;=9999")</f>
        <v>25</v>
      </c>
      <c r="E4">
        <f t="shared" si="1"/>
        <v>315</v>
      </c>
      <c r="F4" s="10">
        <f t="shared" si="2"/>
        <v>0.52063492063492067</v>
      </c>
      <c r="G4" s="10">
        <f t="shared" ref="G4:G13" si="3">C4/E4</f>
        <v>0.4</v>
      </c>
      <c r="H4" s="10">
        <f t="shared" ref="H4:H13" si="4">D4/E4</f>
        <v>7.9365079365079361E-2</v>
      </c>
    </row>
    <row r="5" spans="1:8" x14ac:dyDescent="0.25">
      <c r="A5" t="s">
        <v>2098</v>
      </c>
      <c r="B5">
        <f>COUNTIFS(Crowdfunding!$G$2:$G$1001,"successful",Crowdfunding!$D$2:$D$1001, "&gt;=10000",Crowdfunding!$D$2:$D$1001, "&lt;=14999")</f>
        <v>4</v>
      </c>
      <c r="C5">
        <f>COUNTIFS(Crowdfunding!$G$2:$G$1001,"failed",Crowdfunding!$D$2:$D$1001, "&gt;=10000",Crowdfunding!$D$2:$D$1001, "&lt;=14999")</f>
        <v>5</v>
      </c>
      <c r="D5">
        <f>COUNTIFS(Crowdfunding!$G$2:$G$1001,"canceled",Crowdfunding!$D$2:$D$1001, "&gt;=10000",Crowdfunding!$D$2:$D$1001, "&lt;=14999")</f>
        <v>0</v>
      </c>
      <c r="E5">
        <f t="shared" si="1"/>
        <v>9</v>
      </c>
      <c r="F5" s="10">
        <f t="shared" si="2"/>
        <v>0.44444444444444442</v>
      </c>
      <c r="G5" s="10">
        <f t="shared" si="3"/>
        <v>0.55555555555555558</v>
      </c>
      <c r="H5" s="10">
        <f t="shared" si="4"/>
        <v>0</v>
      </c>
    </row>
    <row r="6" spans="1:8" x14ac:dyDescent="0.25">
      <c r="A6" t="s">
        <v>2099</v>
      </c>
      <c r="B6">
        <f>COUNTIFS(Crowdfunding!$G$2:$G$1001,"successful",Crowdfunding!$D$2:$D$1001, "&gt;=15000",Crowdfunding!$D$2:$D$1001, "&lt;=19999")</f>
        <v>10</v>
      </c>
      <c r="C6">
        <f>COUNTIFS(Crowdfunding!$G$2:$G$1001,"failed",Crowdfunding!$D$2:$D$1001, "&gt;=15000",Crowdfunding!$D$2:$D$1001, "&lt;=19999")</f>
        <v>0</v>
      </c>
      <c r="D6">
        <f>COUNTIFS(Crowdfunding!$G$2:$G$1001,"canceled",Crowdfunding!$D$2:$D$1001, "&gt;=15000",Crowdfunding!$D$2:$D$1001, "&lt;=19999")</f>
        <v>0</v>
      </c>
      <c r="E6">
        <f t="shared" si="1"/>
        <v>10</v>
      </c>
      <c r="F6" s="10">
        <f t="shared" si="2"/>
        <v>1</v>
      </c>
      <c r="G6" s="10">
        <f t="shared" si="3"/>
        <v>0</v>
      </c>
      <c r="H6" s="10">
        <f t="shared" si="4"/>
        <v>0</v>
      </c>
    </row>
    <row r="7" spans="1:8" x14ac:dyDescent="0.25">
      <c r="A7" t="s">
        <v>2100</v>
      </c>
      <c r="B7">
        <f>COUNTIFS(Crowdfunding!$G$2:$G$1001,"successful",Crowdfunding!$D$2:$D$1001, "&gt;=20000",Crowdfunding!$D$2:$D$1001, "&lt;=24999")</f>
        <v>7</v>
      </c>
      <c r="C7">
        <f>COUNTIFS(Crowdfunding!$G$2:$G$1001,"failed",Crowdfunding!$D$2:$D$1001, "&gt;=20000",Crowdfunding!$D$2:$D$1001, "&lt;=24999")</f>
        <v>0</v>
      </c>
      <c r="D7">
        <f>COUNTIFS(Crowdfunding!$G$2:$G$1001,"canceled",Crowdfunding!$D$2:$D$1001, "&gt;=20000",Crowdfunding!$D$2:$D$1001, "&lt;=24999")</f>
        <v>0</v>
      </c>
      <c r="E7">
        <f t="shared" si="1"/>
        <v>7</v>
      </c>
      <c r="F7" s="10">
        <f t="shared" si="2"/>
        <v>1</v>
      </c>
      <c r="G7" s="10">
        <f t="shared" si="3"/>
        <v>0</v>
      </c>
      <c r="H7" s="10">
        <f t="shared" si="4"/>
        <v>0</v>
      </c>
    </row>
    <row r="8" spans="1:8" x14ac:dyDescent="0.25">
      <c r="A8" t="s">
        <v>2101</v>
      </c>
      <c r="B8">
        <f>COUNTIFS(Crowdfunding!$G$2:$G$1001,"successful",Crowdfunding!$D$2:$D$1001, "&gt;=25000",Crowdfunding!$D$2:$D$1001, "&lt;=29999")</f>
        <v>11</v>
      </c>
      <c r="C8">
        <f>COUNTIFS(Crowdfunding!$G$2:$G$1001,"failed",Crowdfunding!$D$2:$D$1001, "&gt;=25000",Crowdfunding!$D$2:$D$1001, "&lt;=29999")</f>
        <v>3</v>
      </c>
      <c r="D8">
        <f>COUNTIFS(Crowdfunding!$G$2:$G$1001,"canceled",Crowdfunding!$D$2:$D$1001, "&gt;=25000",Crowdfunding!$D$2:$D$1001, "&lt;=29999")</f>
        <v>0</v>
      </c>
      <c r="E8">
        <f t="shared" si="1"/>
        <v>14</v>
      </c>
      <c r="F8" s="10">
        <f t="shared" si="2"/>
        <v>0.7857142857142857</v>
      </c>
      <c r="G8" s="10">
        <f t="shared" si="3"/>
        <v>0.21428571428571427</v>
      </c>
      <c r="H8" s="10">
        <f t="shared" si="4"/>
        <v>0</v>
      </c>
    </row>
    <row r="9" spans="1:8" x14ac:dyDescent="0.25">
      <c r="A9" t="s">
        <v>2102</v>
      </c>
      <c r="B9">
        <f>COUNTIFS(Crowdfunding!$G$2:$G$1001,"successful",Crowdfunding!$D$2:$D$1001, "&gt;=30000",Crowdfunding!$D$2:$D$1001, "&lt;=34999")</f>
        <v>7</v>
      </c>
      <c r="C9">
        <f>COUNTIFS(Crowdfunding!$G$2:$G$1001,"failed",Crowdfunding!$D$2:$D$1001, "&gt;=30000",Crowdfunding!$D$2:$D$1001, "&lt;=34999")</f>
        <v>0</v>
      </c>
      <c r="D9">
        <f>COUNTIFS(Crowdfunding!$G$2:$G$1001,"canceled",Crowdfunding!$D$2:$D$1001, "&gt;=30000",Crowdfunding!$D$2:$D$1001, "&lt;=34999")</f>
        <v>0</v>
      </c>
      <c r="E9">
        <f t="shared" si="1"/>
        <v>7</v>
      </c>
      <c r="F9" s="10">
        <f t="shared" si="2"/>
        <v>1</v>
      </c>
      <c r="G9" s="10">
        <f t="shared" si="3"/>
        <v>0</v>
      </c>
      <c r="H9" s="10">
        <f t="shared" si="4"/>
        <v>0</v>
      </c>
    </row>
    <row r="10" spans="1:8" x14ac:dyDescent="0.25">
      <c r="A10" t="s">
        <v>2103</v>
      </c>
      <c r="B10">
        <f>COUNTIFS(Crowdfunding!$G$2:$G$1001,"successful",Crowdfunding!$D$2:$D$1001, "&gt;=35000",Crowdfunding!$D$2:$D$1001, "&lt;=39999")</f>
        <v>8</v>
      </c>
      <c r="C10">
        <f>COUNTIFS(Crowdfunding!$G$2:$G$1001,"failed",Crowdfunding!$D$2:$D$1001, "&gt;=35000",Crowdfunding!$D$2:$D$1001, "&lt;=39999")</f>
        <v>3</v>
      </c>
      <c r="D10">
        <f>COUNTIFS(Crowdfunding!$G$2:$G$1001,"canceled",Crowdfunding!$D$2:$D$1001, "&gt;=35000",Crowdfunding!$D$2:$D$1001, "&lt;=39999")</f>
        <v>1</v>
      </c>
      <c r="E10">
        <f t="shared" si="1"/>
        <v>12</v>
      </c>
      <c r="F10" s="10">
        <f t="shared" si="2"/>
        <v>0.66666666666666663</v>
      </c>
      <c r="G10" s="10">
        <f t="shared" si="3"/>
        <v>0.25</v>
      </c>
      <c r="H10" s="10">
        <f t="shared" si="4"/>
        <v>8.3333333333333329E-2</v>
      </c>
    </row>
    <row r="11" spans="1:8" x14ac:dyDescent="0.25">
      <c r="A11" t="s">
        <v>2104</v>
      </c>
      <c r="B11">
        <f>COUNTIFS(Crowdfunding!$G$2:$G$1001,"successful",Crowdfunding!$D$2:$D$1001, "&gt;=40000",Crowdfunding!$D$2:$D$1001, "&lt;=44999")</f>
        <v>11</v>
      </c>
      <c r="C11">
        <f>COUNTIFS(Crowdfunding!$G$2:$G$1001,"failed",Crowdfunding!$D$2:$D$1001, "&gt;=40000",Crowdfunding!$D$2:$D$1001, "&lt;=44999")</f>
        <v>3</v>
      </c>
      <c r="D11">
        <f>COUNTIFS(Crowdfunding!$G$2:$G$1001,"canceled",Crowdfunding!$D$2:$D$1001, "&gt;=40000",Crowdfunding!$D$2:$D$1001, "&lt;=44999")</f>
        <v>0</v>
      </c>
      <c r="E11">
        <f t="shared" si="1"/>
        <v>14</v>
      </c>
      <c r="F11" s="10">
        <f t="shared" si="2"/>
        <v>0.7857142857142857</v>
      </c>
      <c r="G11" s="10">
        <f t="shared" si="3"/>
        <v>0.21428571428571427</v>
      </c>
      <c r="H11" s="10">
        <f t="shared" si="4"/>
        <v>0</v>
      </c>
    </row>
    <row r="12" spans="1:8" x14ac:dyDescent="0.25">
      <c r="A12" t="s">
        <v>2105</v>
      </c>
      <c r="B12">
        <f>COUNTIFS(Crowdfunding!$G$2:$G$1001,"successful",Crowdfunding!$D$2:$D$1001, "&gt;=45000",Crowdfunding!$D$2:$D$1001, "&lt;=49999")</f>
        <v>8</v>
      </c>
      <c r="C12">
        <f>COUNTIFS(Crowdfunding!$G$2:$G$1001,"failed",Crowdfunding!$D$2:$D$1001, "&gt;=45000",Crowdfunding!$D$2:$D$1001, "&lt;=49999")</f>
        <v>3</v>
      </c>
      <c r="D12">
        <f>COUNTIFS(Crowdfunding!$G$2:$G$1001,"canceled",Crowdfunding!$D$2:$D$1001, "&gt;=45000",Crowdfunding!$D$2:$D$1001, "&lt;=49999")</f>
        <v>0</v>
      </c>
      <c r="E12">
        <f t="shared" si="1"/>
        <v>11</v>
      </c>
      <c r="F12" s="10">
        <f t="shared" si="2"/>
        <v>0.72727272727272729</v>
      </c>
      <c r="G12" s="10">
        <f t="shared" si="3"/>
        <v>0.27272727272727271</v>
      </c>
      <c r="H12" s="10">
        <f t="shared" si="4"/>
        <v>0</v>
      </c>
    </row>
    <row r="13" spans="1:8" x14ac:dyDescent="0.25">
      <c r="A13" t="s">
        <v>2106</v>
      </c>
      <c r="B13">
        <f>COUNTIFS(Crowdfunding!$G$2:$G$1001,"successful",Crowdfunding!$D$2:$D$1001, "&gt;50000")</f>
        <v>114</v>
      </c>
      <c r="C13">
        <f>COUNTIFS(Crowdfunding!$G$2:$G$1001,"failed",Crowdfunding!$D$2:$D$1001, "&gt;50000")</f>
        <v>163</v>
      </c>
      <c r="D13">
        <f>COUNTIFS(Crowdfunding!$G$2:$G$1001,"canceled",Crowdfunding!$D$2:$D$1001, "&gt;50000")</f>
        <v>28</v>
      </c>
      <c r="E13">
        <f t="shared" si="1"/>
        <v>305</v>
      </c>
      <c r="F13" s="10">
        <f t="shared" si="2"/>
        <v>0.3737704918032787</v>
      </c>
      <c r="G13" s="10">
        <f t="shared" si="3"/>
        <v>0.53442622950819674</v>
      </c>
      <c r="H13" s="10">
        <f t="shared" si="4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6481-9244-41C4-99BF-60E46C822C75}">
  <dimension ref="A1:J566"/>
  <sheetViews>
    <sheetView tabSelected="1" workbookViewId="0">
      <selection activeCell="F11" sqref="F11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9.375" bestFit="1" customWidth="1"/>
    <col min="5" max="5" width="13.5" bestFit="1" customWidth="1"/>
    <col min="7" max="7" width="16.125" bestFit="1" customWidth="1"/>
    <col min="9" max="9" width="16.125" bestFit="1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G2" s="9" t="s">
        <v>20</v>
      </c>
      <c r="I2" s="9" t="s">
        <v>2113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2107</v>
      </c>
      <c r="H3" s="4">
        <f>AVERAGE(B2:B566)</f>
        <v>851.14690265486729</v>
      </c>
      <c r="I3" t="s">
        <v>2107</v>
      </c>
      <c r="J3" s="4">
        <f>AVERAGE(E2:E365)</f>
        <v>585.61538461538464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MEDIAN(B2:B566)</f>
        <v>201</v>
      </c>
      <c r="I4" t="s">
        <v>2108</v>
      </c>
      <c r="J4">
        <f>MEDIAN(E2:E365)</f>
        <v>114.5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MIN(B2:B566)</f>
        <v>16</v>
      </c>
      <c r="I5" t="s">
        <v>2109</v>
      </c>
      <c r="J5">
        <f>MIN(E2:E365)</f>
        <v>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MAX(B2:B566)</f>
        <v>7295</v>
      </c>
      <c r="I6" t="s">
        <v>2110</v>
      </c>
      <c r="J6">
        <f>MAX(E2:E365)</f>
        <v>6080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_xlfn.VAR.S(B2:B566)</f>
        <v>1606216.5936295739</v>
      </c>
      <c r="I7" t="s">
        <v>2111</v>
      </c>
      <c r="J7">
        <f>_xlfn.VAR.S(E2:E365)</f>
        <v>924113.45496927318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  <c r="G8" t="s">
        <v>2112</v>
      </c>
      <c r="H8" s="4">
        <f>_xlfn.STDEV.S(B2:B566)</f>
        <v>1267.366006183523</v>
      </c>
      <c r="I8" t="s">
        <v>2112</v>
      </c>
      <c r="J8" s="4">
        <f>_xlfn.STDEV.S(E2:E365)</f>
        <v>961.30819978260524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D2:E1001">
    <sortCondition sortBy="cellColor" ref="D2:D1001" dxfId="8"/>
  </sortState>
  <conditionalFormatting sqref="A2:A1001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1001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Date Created </vt:lpstr>
      <vt:lpstr>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Ochirbat Munkhchuluun</cp:lastModifiedBy>
  <dcterms:created xsi:type="dcterms:W3CDTF">2021-09-29T18:52:28Z</dcterms:created>
  <dcterms:modified xsi:type="dcterms:W3CDTF">2023-02-25T20:13:33Z</dcterms:modified>
</cp:coreProperties>
</file>