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threadedComments/threadedComment5.xml" ContentType="application/vnd.ms-excel.threadedcomments+xml"/>
  <Override PartName="/xl/drawings/drawing3.xml" ContentType="application/vnd.openxmlformats-officedocument.drawing+xml"/>
  <Override PartName="/xl/comments7.xml" ContentType="application/vnd.openxmlformats-officedocument.spreadsheetml.comments+xml"/>
  <Override PartName="/xl/threadedComments/threadedComment6.xml" ContentType="application/vnd.ms-excel.threadedcomments+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omments8.xml" ContentType="application/vnd.openxmlformats-officedocument.spreadsheetml.comments+xml"/>
  <Override PartName="/xl/threadedComments/threadedComment7.xml" ContentType="application/vnd.ms-excel.threadedcomments+xml"/>
  <Override PartName="/xl/comments9.xml" ContentType="application/vnd.openxmlformats-officedocument.spreadsheetml.comments+xml"/>
  <Override PartName="/xl/threadedComments/threadedComment8.xml" ContentType="application/vnd.ms-excel.threadedcomments+xml"/>
  <Override PartName="/xl/drawings/drawing4.xml" ContentType="application/vnd.openxmlformats-officedocument.drawing+xml"/>
  <Override PartName="/xl/drawings/drawing5.xml" ContentType="application/vnd.openxmlformats-officedocument.drawing+xml"/>
  <Override PartName="/xl/comments10.xml" ContentType="application/vnd.openxmlformats-officedocument.spreadsheetml.comments+xml"/>
  <Override PartName="/xl/threadedComments/threadedComment9.xml" ContentType="application/vnd.ms-excel.threadedcomments+xml"/>
  <Override PartName="/xl/comments11.xml" ContentType="application/vnd.openxmlformats-officedocument.spreadsheetml.comments+xml"/>
  <Override PartName="/xl/threadedComments/threadedComment10.xml" ContentType="application/vnd.ms-excel.threadedcomments+xml"/>
  <Override PartName="/xl/comments12.xml" ContentType="application/vnd.openxmlformats-officedocument.spreadsheetml.comments+xml"/>
  <Override PartName="/xl/threadedComments/threadedComment1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mc:AlternateContent xmlns:mc="http://schemas.openxmlformats.org/markup-compatibility/2006">
    <mc:Choice Requires="x15">
      <x15ac:absPath xmlns:x15ac="http://schemas.microsoft.com/office/spreadsheetml/2010/11/ac" url="/Users/shelovesoj/Desktop/"/>
    </mc:Choice>
  </mc:AlternateContent>
  <xr:revisionPtr revIDLastSave="0" documentId="13_ncr:1_{E928F692-D123-A34F-930E-3081E5829A6B}" xr6:coauthVersionLast="47" xr6:coauthVersionMax="47" xr10:uidLastSave="{00000000-0000-0000-0000-000000000000}"/>
  <bookViews>
    <workbookView xWindow="0" yWindow="0" windowWidth="28800" windowHeight="18000" xr2:uid="{00000000-000D-0000-FFFF-FFFF00000000}"/>
  </bookViews>
  <sheets>
    <sheet name="READ ME" sheetId="24" r:id="rId1"/>
    <sheet name="Income Statement" sheetId="5" r:id="rId2"/>
    <sheet name="Balance Sheet" sheetId="1" r:id="rId3"/>
    <sheet name="Cash Flow" sheetId="3" r:id="rId4"/>
    <sheet name="Working Capital" sheetId="2" r:id="rId5"/>
    <sheet name="Depreciation" sheetId="9" r:id="rId6"/>
    <sheet name="Debt Schedule" sheetId="10" r:id="rId7"/>
    <sheet name="DCF" sheetId="12" r:id="rId8"/>
    <sheet name="Football field" sheetId="23" r:id="rId9"/>
    <sheet name="Comparable Analysis" sheetId="13" r:id="rId10"/>
    <sheet name="Coca-cola Comp" sheetId="14" r:id="rId11"/>
    <sheet name="Pepsi" sheetId="21" r:id="rId12"/>
    <sheet name="Nestle" sheetId="19" r:id="rId13"/>
    <sheet name="keurig dr pepper" sheetId="20" r:id="rId14"/>
    <sheet name="Monster" sheetId="22" r:id="rId15"/>
    <sheet name="The Boston Beer Comp" sheetId="15" r:id="rId16"/>
    <sheet name="Anheuser-Busch InBev" sheetId="16" r:id="rId17"/>
    <sheet name="Kirin Holdings" sheetId="17" r:id="rId18"/>
    <sheet name="Diageo plc" sheetId="18" r:id="rId19"/>
  </sheets>
  <externalReferences>
    <externalReference r:id="rId20"/>
  </externalReferences>
  <definedNames>
    <definedName name="_xlchart.v2.0" hidden="1">'Income Statement'!$N$60:$N$65</definedName>
    <definedName name="_xlchart.v2.1" hidden="1">'Income Statement'!$O$59</definedName>
    <definedName name="_xlchart.v2.2" hidden="1">'Income Statement'!$O$60:$O$65</definedName>
    <definedName name="M_to_MM">#REF!</definedName>
  </definedName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2" i="19" l="1"/>
  <c r="D54" i="17"/>
  <c r="D55" i="17"/>
  <c r="E49" i="17"/>
  <c r="E48" i="17"/>
  <c r="R39" i="20"/>
  <c r="F7" i="23"/>
  <c r="F6" i="23"/>
  <c r="J41" i="12"/>
  <c r="D54" i="14"/>
  <c r="H16" i="12"/>
  <c r="I16" i="12"/>
  <c r="J16" i="12"/>
  <c r="K16" i="12"/>
  <c r="J45" i="12"/>
  <c r="J46" i="12" s="1"/>
  <c r="J43" i="12"/>
  <c r="J42" i="12" s="1"/>
  <c r="F12" i="23"/>
  <c r="H12" i="23"/>
  <c r="H62" i="3"/>
  <c r="J62" i="3"/>
  <c r="K62" i="3"/>
  <c r="F11" i="13"/>
  <c r="D11" i="13"/>
  <c r="C11" i="13"/>
  <c r="E10" i="13"/>
  <c r="D10" i="13"/>
  <c r="C10" i="13"/>
  <c r="G11" i="13"/>
  <c r="F9" i="13"/>
  <c r="G9" i="13"/>
  <c r="H9" i="13"/>
  <c r="I9" i="13"/>
  <c r="J9" i="13"/>
  <c r="K9" i="13"/>
  <c r="L9" i="13"/>
  <c r="M9" i="13"/>
  <c r="F10" i="13"/>
  <c r="G10" i="13"/>
  <c r="H10" i="13"/>
  <c r="I10" i="13"/>
  <c r="J10" i="13"/>
  <c r="K10" i="13"/>
  <c r="L10" i="13"/>
  <c r="M10" i="13"/>
  <c r="E9" i="13"/>
  <c r="D9" i="13"/>
  <c r="C9" i="13"/>
  <c r="M8" i="13"/>
  <c r="L8" i="13"/>
  <c r="K8" i="13"/>
  <c r="J8" i="13"/>
  <c r="I8" i="13"/>
  <c r="H8" i="13"/>
  <c r="G8" i="13"/>
  <c r="F8" i="13"/>
  <c r="E8" i="13"/>
  <c r="D8" i="13"/>
  <c r="C8" i="13"/>
  <c r="J31" i="13"/>
  <c r="I31" i="13"/>
  <c r="H31" i="13"/>
  <c r="G31" i="13"/>
  <c r="F31" i="13"/>
  <c r="E31" i="13"/>
  <c r="D31" i="13"/>
  <c r="C31" i="13"/>
  <c r="J30" i="13"/>
  <c r="I30" i="13"/>
  <c r="H30" i="13"/>
  <c r="G30" i="13"/>
  <c r="F30" i="13"/>
  <c r="E30" i="13"/>
  <c r="D30" i="13"/>
  <c r="C30" i="13"/>
  <c r="J29" i="13"/>
  <c r="I29" i="13"/>
  <c r="H29" i="13"/>
  <c r="G29" i="13"/>
  <c r="F29" i="13"/>
  <c r="E29" i="13"/>
  <c r="D29" i="13"/>
  <c r="C29" i="13"/>
  <c r="D63" i="3"/>
  <c r="E63" i="3"/>
  <c r="F63" i="3"/>
  <c r="E37" i="22"/>
  <c r="E26" i="22"/>
  <c r="D26" i="22"/>
  <c r="D58" i="3"/>
  <c r="E58" i="3"/>
  <c r="F58" i="3"/>
  <c r="D59" i="3"/>
  <c r="E59" i="3"/>
  <c r="F59" i="3"/>
  <c r="D60" i="3"/>
  <c r="E60" i="3"/>
  <c r="F60" i="3"/>
  <c r="G60" i="3"/>
  <c r="H60" i="3"/>
  <c r="I60" i="3"/>
  <c r="J60" i="3"/>
  <c r="K60" i="3"/>
  <c r="D61" i="3"/>
  <c r="E61" i="3"/>
  <c r="F61" i="3"/>
  <c r="G61" i="3"/>
  <c r="H61" i="3"/>
  <c r="I61" i="3"/>
  <c r="J61" i="3"/>
  <c r="K61" i="3"/>
  <c r="D62" i="3"/>
  <c r="E62" i="3"/>
  <c r="F62" i="3"/>
  <c r="E30" i="22"/>
  <c r="E21" i="22"/>
  <c r="E5" i="22"/>
  <c r="D43" i="22"/>
  <c r="D51" i="22" s="1"/>
  <c r="E11" i="13" s="1"/>
  <c r="L64" i="5"/>
  <c r="D17" i="22"/>
  <c r="E17" i="22" s="1"/>
  <c r="E16" i="22" s="1"/>
  <c r="G59" i="5"/>
  <c r="H59" i="5"/>
  <c r="D13" i="22"/>
  <c r="E13" i="22" s="1"/>
  <c r="E12" i="22" s="1"/>
  <c r="D8" i="22"/>
  <c r="C33" i="13"/>
  <c r="R16" i="20"/>
  <c r="R8" i="20"/>
  <c r="Q8" i="20"/>
  <c r="Q16" i="20"/>
  <c r="R12" i="20"/>
  <c r="R5" i="20"/>
  <c r="Q20" i="20"/>
  <c r="Q12" i="20"/>
  <c r="Q51" i="20"/>
  <c r="Q52" i="20"/>
  <c r="Q60" i="20"/>
  <c r="Q9" i="20"/>
  <c r="R9" i="20" s="1"/>
  <c r="Q10" i="20"/>
  <c r="R10" i="20"/>
  <c r="Q11" i="20"/>
  <c r="Q13" i="20"/>
  <c r="R13" i="20"/>
  <c r="Q14" i="20"/>
  <c r="R14" i="20"/>
  <c r="Q15" i="20"/>
  <c r="R15" i="20"/>
  <c r="Q17" i="20"/>
  <c r="R17" i="20"/>
  <c r="Q18" i="20"/>
  <c r="R18" i="20"/>
  <c r="Q19" i="20"/>
  <c r="R19" i="20"/>
  <c r="R20" i="20"/>
  <c r="R22" i="20"/>
  <c r="Q24" i="20"/>
  <c r="R24" i="20"/>
  <c r="Q25" i="20"/>
  <c r="R25" i="20"/>
  <c r="Q26" i="20"/>
  <c r="R26" i="20"/>
  <c r="Q28" i="20"/>
  <c r="R28" i="20"/>
  <c r="R27" i="20" s="1"/>
  <c r="Q29" i="20"/>
  <c r="R29" i="20"/>
  <c r="R33" i="20"/>
  <c r="Q34" i="20"/>
  <c r="R34" i="20"/>
  <c r="Q36" i="20"/>
  <c r="Q37" i="20"/>
  <c r="R36" i="20"/>
  <c r="R40" i="20"/>
  <c r="R37" i="20" s="1"/>
  <c r="D62" i="17"/>
  <c r="D58" i="17"/>
  <c r="D57" i="17"/>
  <c r="J28" i="13"/>
  <c r="I28" i="13"/>
  <c r="H28" i="13"/>
  <c r="G28" i="13"/>
  <c r="D63" i="17"/>
  <c r="F28" i="13"/>
  <c r="E28" i="13"/>
  <c r="D28" i="13"/>
  <c r="C28" i="13"/>
  <c r="E30" i="19"/>
  <c r="E28" i="19"/>
  <c r="E24" i="19"/>
  <c r="E23" i="19"/>
  <c r="E22" i="19"/>
  <c r="E17" i="19"/>
  <c r="E5" i="19"/>
  <c r="D32" i="19"/>
  <c r="D51" i="19"/>
  <c r="D35" i="19"/>
  <c r="D34" i="19"/>
  <c r="D27" i="19"/>
  <c r="D17" i="19"/>
  <c r="D12" i="19"/>
  <c r="D23" i="19"/>
  <c r="D22" i="19"/>
  <c r="D13" i="19"/>
  <c r="D9" i="19"/>
  <c r="D10" i="19"/>
  <c r="D51" i="21"/>
  <c r="E40" i="21"/>
  <c r="E39" i="21"/>
  <c r="E33" i="21"/>
  <c r="E8" i="21"/>
  <c r="D45" i="18"/>
  <c r="E28" i="18"/>
  <c r="E22" i="21"/>
  <c r="E16" i="18"/>
  <c r="E14" i="18"/>
  <c r="E12" i="18"/>
  <c r="E8" i="18"/>
  <c r="J28" i="3"/>
  <c r="I28" i="3"/>
  <c r="H28" i="3"/>
  <c r="K28" i="3" s="1"/>
  <c r="G28" i="3"/>
  <c r="J27" i="3"/>
  <c r="I27" i="3"/>
  <c r="H27" i="3"/>
  <c r="K27" i="3" s="1"/>
  <c r="G27" i="3"/>
  <c r="H8" i="5"/>
  <c r="H11" i="13" l="1"/>
  <c r="I11" i="13"/>
  <c r="J11" i="13"/>
  <c r="K11" i="13"/>
  <c r="L11" i="13"/>
  <c r="M11" i="13"/>
  <c r="D10" i="22"/>
  <c r="D9" i="22"/>
  <c r="E9" i="22" s="1"/>
  <c r="E8" i="22" s="1"/>
  <c r="E10" i="22" s="1"/>
  <c r="E16" i="19"/>
  <c r="E12" i="19"/>
  <c r="E8" i="19"/>
  <c r="E10" i="19" s="1"/>
  <c r="E14" i="19"/>
  <c r="E11" i="19"/>
  <c r="D14" i="19"/>
  <c r="D11" i="19"/>
  <c r="D24" i="19"/>
  <c r="H42" i="10"/>
  <c r="I42" i="10" s="1"/>
  <c r="J42" i="10" s="1"/>
  <c r="K42" i="10" s="1"/>
  <c r="D12" i="16"/>
  <c r="G32" i="10"/>
  <c r="F21" i="10"/>
  <c r="D56" i="16"/>
  <c r="D55" i="20"/>
  <c r="D63" i="20" s="1"/>
  <c r="D60" i="19"/>
  <c r="D52" i="21"/>
  <c r="D60" i="21" s="1"/>
  <c r="D17" i="21"/>
  <c r="E17" i="21" s="1"/>
  <c r="E16" i="21" s="1"/>
  <c r="D9" i="21"/>
  <c r="E10" i="21"/>
  <c r="E24" i="21"/>
  <c r="D24" i="21"/>
  <c r="D20" i="21"/>
  <c r="E20" i="21" s="1"/>
  <c r="D12" i="21"/>
  <c r="D10" i="21"/>
  <c r="D11" i="21" s="1"/>
  <c r="D19" i="23"/>
  <c r="B19" i="23"/>
  <c r="D16" i="23"/>
  <c r="B16" i="23"/>
  <c r="D15" i="23"/>
  <c r="B15" i="23"/>
  <c r="S6" i="23"/>
  <c r="H5" i="23"/>
  <c r="G5" i="23"/>
  <c r="K5" i="23" s="1"/>
  <c r="O5" i="23" s="1"/>
  <c r="F5" i="23"/>
  <c r="J5" i="23" s="1"/>
  <c r="N5" i="23" s="1"/>
  <c r="I35" i="13"/>
  <c r="G35" i="13"/>
  <c r="E35" i="13"/>
  <c r="D35" i="13"/>
  <c r="C35" i="13"/>
  <c r="I33" i="13"/>
  <c r="H33" i="13"/>
  <c r="G33" i="13"/>
  <c r="F33" i="13"/>
  <c r="E33" i="13"/>
  <c r="D33" i="13"/>
  <c r="E15" i="15"/>
  <c r="J34" i="13"/>
  <c r="I34" i="13"/>
  <c r="H34" i="13"/>
  <c r="G34" i="13"/>
  <c r="F34" i="13"/>
  <c r="E34" i="13"/>
  <c r="D34" i="13"/>
  <c r="C34" i="13"/>
  <c r="D32" i="13"/>
  <c r="C32" i="13"/>
  <c r="G27" i="13"/>
  <c r="F27" i="13"/>
  <c r="E27" i="13"/>
  <c r="C27" i="13"/>
  <c r="E15" i="13"/>
  <c r="D15" i="13"/>
  <c r="D13" i="13"/>
  <c r="C16" i="13"/>
  <c r="F16" i="13" s="1"/>
  <c r="C15" i="13"/>
  <c r="C14" i="13"/>
  <c r="C6" i="13"/>
  <c r="C13" i="13"/>
  <c r="D64" i="16"/>
  <c r="E13" i="13" s="1"/>
  <c r="D56" i="18"/>
  <c r="E49" i="18"/>
  <c r="D56" i="17"/>
  <c r="D64" i="17" s="1"/>
  <c r="E14" i="13" s="1"/>
  <c r="E31" i="17"/>
  <c r="D30" i="17"/>
  <c r="D20" i="17"/>
  <c r="D12" i="17"/>
  <c r="D14" i="17"/>
  <c r="D8" i="17"/>
  <c r="D46" i="18"/>
  <c r="D43" i="18"/>
  <c r="D39" i="18"/>
  <c r="D30" i="18"/>
  <c r="E29" i="18"/>
  <c r="D29" i="18"/>
  <c r="D27" i="18"/>
  <c r="D26" i="18"/>
  <c r="E25" i="18"/>
  <c r="D25" i="18"/>
  <c r="E24" i="18"/>
  <c r="E23" i="18"/>
  <c r="E21" i="18"/>
  <c r="E20" i="18"/>
  <c r="D19" i="18"/>
  <c r="D18" i="18"/>
  <c r="E17" i="18"/>
  <c r="D17" i="18"/>
  <c r="D15" i="18"/>
  <c r="D14" i="18"/>
  <c r="E13" i="18"/>
  <c r="D13" i="18"/>
  <c r="E10" i="18"/>
  <c r="E11" i="18"/>
  <c r="D11" i="18"/>
  <c r="D10" i="18"/>
  <c r="E9" i="18"/>
  <c r="D9" i="18"/>
  <c r="D8" i="18"/>
  <c r="E5" i="18"/>
  <c r="D25" i="17"/>
  <c r="D26" i="17" s="1"/>
  <c r="E24" i="17"/>
  <c r="E23" i="17"/>
  <c r="E25" i="17" s="1"/>
  <c r="E21" i="17"/>
  <c r="E20" i="17"/>
  <c r="D17" i="17"/>
  <c r="E17" i="17" s="1"/>
  <c r="D13" i="17"/>
  <c r="E13" i="17" s="1"/>
  <c r="D10" i="17"/>
  <c r="D9" i="17"/>
  <c r="E9" i="17" s="1"/>
  <c r="E5" i="17"/>
  <c r="D42" i="15"/>
  <c r="E25" i="16"/>
  <c r="D25" i="16"/>
  <c r="E24" i="16"/>
  <c r="E23" i="16"/>
  <c r="D23" i="16"/>
  <c r="E21" i="16"/>
  <c r="E20" i="16"/>
  <c r="E16" i="16"/>
  <c r="E17" i="16"/>
  <c r="D17" i="16"/>
  <c r="D8" i="16"/>
  <c r="D13" i="16"/>
  <c r="E13" i="16" s="1"/>
  <c r="E12" i="16" s="1"/>
  <c r="E46" i="15"/>
  <c r="D60" i="15"/>
  <c r="D64" i="14"/>
  <c r="E6" i="13" s="1"/>
  <c r="D52" i="15"/>
  <c r="D10" i="16"/>
  <c r="D9" i="16"/>
  <c r="E9" i="16" s="1"/>
  <c r="E8" i="16" s="1"/>
  <c r="E10" i="16" s="1"/>
  <c r="E5" i="16"/>
  <c r="E43" i="15"/>
  <c r="E42" i="15"/>
  <c r="D43" i="15"/>
  <c r="E40" i="15"/>
  <c r="D40" i="15"/>
  <c r="E36" i="15"/>
  <c r="D36" i="15"/>
  <c r="E11" i="15"/>
  <c r="E13" i="15"/>
  <c r="D28" i="15"/>
  <c r="E27" i="15"/>
  <c r="D27" i="15"/>
  <c r="D25" i="15"/>
  <c r="D24" i="15"/>
  <c r="E23" i="15"/>
  <c r="D23" i="15"/>
  <c r="E22" i="15"/>
  <c r="E21" i="15"/>
  <c r="D19" i="15"/>
  <c r="D18" i="15"/>
  <c r="E16" i="15"/>
  <c r="E17" i="15"/>
  <c r="D17" i="15"/>
  <c r="D15" i="15"/>
  <c r="D14" i="15"/>
  <c r="E10" i="15"/>
  <c r="E12" i="15"/>
  <c r="D13" i="15"/>
  <c r="D8" i="15"/>
  <c r="D10" i="15"/>
  <c r="E5" i="15"/>
  <c r="D9" i="15"/>
  <c r="E9" i="15" s="1"/>
  <c r="E8" i="15" s="1"/>
  <c r="D56" i="14"/>
  <c r="D6" i="13" s="1"/>
  <c r="D30" i="14"/>
  <c r="D27" i="14"/>
  <c r="D26" i="14"/>
  <c r="D25" i="14"/>
  <c r="D19" i="14"/>
  <c r="D18" i="14"/>
  <c r="D17" i="14"/>
  <c r="D15" i="14"/>
  <c r="D14" i="14"/>
  <c r="D13" i="14"/>
  <c r="D11" i="14"/>
  <c r="D10" i="14"/>
  <c r="E5" i="14"/>
  <c r="D27" i="13" s="1"/>
  <c r="J32" i="12"/>
  <c r="J33" i="12"/>
  <c r="J36" i="12"/>
  <c r="J35" i="12"/>
  <c r="K31" i="12"/>
  <c r="L31" i="12"/>
  <c r="O31" i="12"/>
  <c r="N31" i="12"/>
  <c r="O23" i="12"/>
  <c r="B7" i="23" s="1"/>
  <c r="B8" i="23" s="1"/>
  <c r="D14" i="13" l="1"/>
  <c r="I6" i="13"/>
  <c r="F14" i="13"/>
  <c r="G15" i="13"/>
  <c r="F15" i="13"/>
  <c r="L6" i="13"/>
  <c r="K6" i="13"/>
  <c r="J6" i="13"/>
  <c r="H6" i="13"/>
  <c r="M15" i="13"/>
  <c r="L15" i="13"/>
  <c r="K15" i="13"/>
  <c r="J15" i="13"/>
  <c r="I15" i="13"/>
  <c r="H15" i="13"/>
  <c r="E14" i="22"/>
  <c r="E11" i="22"/>
  <c r="D14" i="22"/>
  <c r="D11" i="22"/>
  <c r="D16" i="13"/>
  <c r="D64" i="18"/>
  <c r="E16" i="13" s="1"/>
  <c r="M14" i="13"/>
  <c r="L14" i="13"/>
  <c r="K14" i="13"/>
  <c r="J14" i="13"/>
  <c r="I14" i="13"/>
  <c r="H14" i="13"/>
  <c r="E18" i="19"/>
  <c r="E15" i="19"/>
  <c r="D18" i="19"/>
  <c r="D15" i="19"/>
  <c r="H35" i="13"/>
  <c r="M16" i="13" s="1"/>
  <c r="E18" i="18"/>
  <c r="E15" i="18"/>
  <c r="E19" i="14"/>
  <c r="H13" i="13"/>
  <c r="I13" i="13"/>
  <c r="D14" i="21"/>
  <c r="D18" i="21" s="1"/>
  <c r="D13" i="21"/>
  <c r="E13" i="21" s="1"/>
  <c r="C16" i="23"/>
  <c r="C15" i="23"/>
  <c r="C19" i="23"/>
  <c r="L5" i="23"/>
  <c r="P5" i="23" s="1"/>
  <c r="E8" i="17"/>
  <c r="E10" i="17" s="1"/>
  <c r="D11" i="17"/>
  <c r="E12" i="17"/>
  <c r="E16" i="17"/>
  <c r="E14" i="16"/>
  <c r="E11" i="16"/>
  <c r="D14" i="16"/>
  <c r="D11" i="16"/>
  <c r="E14" i="15"/>
  <c r="E18" i="15"/>
  <c r="D11" i="15"/>
  <c r="K10" i="12"/>
  <c r="J10" i="12"/>
  <c r="I10" i="12"/>
  <c r="H10" i="12"/>
  <c r="G10" i="12"/>
  <c r="L24" i="12"/>
  <c r="F37" i="12"/>
  <c r="E5" i="12"/>
  <c r="F5" i="12" s="1"/>
  <c r="G5" i="12" s="1"/>
  <c r="H5" i="12" s="1"/>
  <c r="I5" i="12" s="1"/>
  <c r="J5" i="12" s="1"/>
  <c r="K5" i="12" s="1"/>
  <c r="A3" i="12"/>
  <c r="F40" i="10"/>
  <c r="E18" i="22" l="1"/>
  <c r="E15" i="22"/>
  <c r="D15" i="22"/>
  <c r="D18" i="22"/>
  <c r="H16" i="13"/>
  <c r="H19" i="13" s="1"/>
  <c r="L16" i="13"/>
  <c r="J16" i="13"/>
  <c r="I16" i="13"/>
  <c r="E25" i="19"/>
  <c r="E19" i="19"/>
  <c r="D25" i="19"/>
  <c r="D19" i="19"/>
  <c r="E12" i="21"/>
  <c r="E14" i="21" s="1"/>
  <c r="E15" i="21"/>
  <c r="E18" i="21"/>
  <c r="F35" i="13"/>
  <c r="K16" i="13" s="1"/>
  <c r="E26" i="18"/>
  <c r="E19" i="18"/>
  <c r="H17" i="13"/>
  <c r="H18" i="13"/>
  <c r="D15" i="16"/>
  <c r="D18" i="16"/>
  <c r="G32" i="13"/>
  <c r="L13" i="13" s="1"/>
  <c r="E15" i="16"/>
  <c r="H32" i="13"/>
  <c r="M13" i="13" s="1"/>
  <c r="E18" i="16"/>
  <c r="I18" i="13"/>
  <c r="I17" i="13"/>
  <c r="I19" i="13"/>
  <c r="D19" i="21"/>
  <c r="D25" i="21"/>
  <c r="D28" i="21" s="1"/>
  <c r="E28" i="21" s="1"/>
  <c r="D15" i="21"/>
  <c r="D18" i="17"/>
  <c r="D15" i="17"/>
  <c r="E11" i="17"/>
  <c r="E14" i="17"/>
  <c r="E24" i="15"/>
  <c r="E19" i="15"/>
  <c r="E37" i="12"/>
  <c r="O24" i="12"/>
  <c r="H37" i="1"/>
  <c r="I37" i="1" s="1"/>
  <c r="J37" i="1" s="1"/>
  <c r="K37" i="1" s="1"/>
  <c r="G37" i="1"/>
  <c r="F46" i="3"/>
  <c r="E46" i="3"/>
  <c r="D46" i="3"/>
  <c r="I36" i="1"/>
  <c r="J36" i="1" s="1"/>
  <c r="K36" i="1" s="1"/>
  <c r="H36" i="1"/>
  <c r="G36" i="1"/>
  <c r="F28" i="1"/>
  <c r="F14" i="10" s="1"/>
  <c r="G11" i="10" s="1"/>
  <c r="G14" i="10" s="1"/>
  <c r="E28" i="1"/>
  <c r="E30" i="1" s="1"/>
  <c r="D28" i="1"/>
  <c r="D30" i="1" s="1"/>
  <c r="F35" i="3"/>
  <c r="F36" i="3" s="1"/>
  <c r="E35" i="3"/>
  <c r="E36" i="3" s="1"/>
  <c r="D35" i="3"/>
  <c r="D36" i="3" s="1"/>
  <c r="G19" i="1"/>
  <c r="H19" i="1" s="1"/>
  <c r="I19" i="1" s="1"/>
  <c r="J19" i="1" s="1"/>
  <c r="K19" i="1" s="1"/>
  <c r="F31" i="3"/>
  <c r="E31" i="3"/>
  <c r="D31" i="3"/>
  <c r="D19" i="22" l="1"/>
  <c r="D22" i="22"/>
  <c r="E22" i="22"/>
  <c r="E19" i="22"/>
  <c r="E27" i="19"/>
  <c r="E29" i="19" s="1"/>
  <c r="E32" i="19" s="1"/>
  <c r="E26" i="19"/>
  <c r="D29" i="19"/>
  <c r="D26" i="19"/>
  <c r="D28" i="19"/>
  <c r="E19" i="21"/>
  <c r="E25" i="21"/>
  <c r="E26" i="21" s="1"/>
  <c r="E30" i="18"/>
  <c r="E39" i="18" s="1"/>
  <c r="E43" i="18" s="1"/>
  <c r="E27" i="18"/>
  <c r="H11" i="10"/>
  <c r="H14" i="10" s="1"/>
  <c r="G15" i="10"/>
  <c r="L17" i="13"/>
  <c r="L18" i="13"/>
  <c r="L19" i="13"/>
  <c r="J12" i="23"/>
  <c r="F32" i="13"/>
  <c r="K13" i="13" s="1"/>
  <c r="E26" i="16"/>
  <c r="E19" i="16"/>
  <c r="M18" i="13"/>
  <c r="M17" i="13"/>
  <c r="M19" i="13"/>
  <c r="E32" i="13"/>
  <c r="J13" i="13" s="1"/>
  <c r="D26" i="16"/>
  <c r="D19" i="16"/>
  <c r="L12" i="23"/>
  <c r="D29" i="21"/>
  <c r="D34" i="21" s="1"/>
  <c r="D26" i="21"/>
  <c r="E18" i="17"/>
  <c r="E15" i="17"/>
  <c r="D19" i="17"/>
  <c r="E26" i="15"/>
  <c r="E28" i="15" s="1"/>
  <c r="E25" i="15"/>
  <c r="F30" i="1"/>
  <c r="O21" i="12"/>
  <c r="G28" i="1"/>
  <c r="G39" i="1"/>
  <c r="H39" i="1" s="1"/>
  <c r="I39" i="1" s="1"/>
  <c r="J39" i="1" s="1"/>
  <c r="K39" i="1" s="1"/>
  <c r="G31" i="1"/>
  <c r="H31" i="1" s="1"/>
  <c r="I31" i="1" s="1"/>
  <c r="J31" i="1" s="1"/>
  <c r="K31" i="1" s="1"/>
  <c r="F12" i="1"/>
  <c r="F15" i="1" s="1"/>
  <c r="E12" i="1"/>
  <c r="E15" i="1" s="1"/>
  <c r="D12" i="1"/>
  <c r="D15" i="1" s="1"/>
  <c r="G33" i="1"/>
  <c r="H33" i="1" s="1"/>
  <c r="I33" i="1" s="1"/>
  <c r="J33" i="1" s="1"/>
  <c r="K33" i="1" s="1"/>
  <c r="G20" i="1"/>
  <c r="H20" i="1" s="1"/>
  <c r="I20" i="1" s="1"/>
  <c r="J20" i="1" s="1"/>
  <c r="K20" i="1" s="1"/>
  <c r="F19" i="2"/>
  <c r="E19" i="2"/>
  <c r="D19" i="2"/>
  <c r="G19" i="2" s="1"/>
  <c r="G23" i="3" s="1"/>
  <c r="G32" i="1" s="1"/>
  <c r="F17" i="2"/>
  <c r="E17" i="2"/>
  <c r="D17" i="2"/>
  <c r="F15" i="2"/>
  <c r="F20" i="2" s="1"/>
  <c r="E15" i="2"/>
  <c r="D15" i="2"/>
  <c r="F11" i="2"/>
  <c r="E11" i="2"/>
  <c r="D11" i="2"/>
  <c r="F9" i="2"/>
  <c r="E9" i="2"/>
  <c r="D9" i="2"/>
  <c r="F7" i="2"/>
  <c r="E7" i="2"/>
  <c r="D7" i="2"/>
  <c r="G17" i="1"/>
  <c r="H17" i="1" s="1"/>
  <c r="I17" i="1" s="1"/>
  <c r="J17" i="1" s="1"/>
  <c r="K17" i="1" s="1"/>
  <c r="G18" i="1"/>
  <c r="H18" i="1" s="1"/>
  <c r="I18" i="1" s="1"/>
  <c r="J18" i="1" s="1"/>
  <c r="K18" i="1" s="1"/>
  <c r="E23" i="22" l="1"/>
  <c r="D25" i="22"/>
  <c r="E25" i="22" s="1"/>
  <c r="E24" i="22" s="1"/>
  <c r="D23" i="22"/>
  <c r="D31" i="22" s="1"/>
  <c r="E34" i="19"/>
  <c r="E35" i="19"/>
  <c r="D37" i="21"/>
  <c r="D36" i="21"/>
  <c r="E46" i="18"/>
  <c r="J35" i="13" s="1"/>
  <c r="G16" i="13" s="1"/>
  <c r="E45" i="18"/>
  <c r="I11" i="10"/>
  <c r="I14" i="10" s="1"/>
  <c r="H15" i="10"/>
  <c r="J17" i="13"/>
  <c r="J18" i="13"/>
  <c r="J19" i="13"/>
  <c r="E27" i="16"/>
  <c r="K19" i="13"/>
  <c r="K17" i="13"/>
  <c r="K18" i="13"/>
  <c r="D29" i="16"/>
  <c r="E29" i="16" s="1"/>
  <c r="E28" i="16" s="1"/>
  <c r="E30" i="16" s="1"/>
  <c r="E39" i="16" s="1"/>
  <c r="E43" i="16" s="1"/>
  <c r="D27" i="16"/>
  <c r="D30" i="16"/>
  <c r="D39" i="16" s="1"/>
  <c r="D43" i="16" s="1"/>
  <c r="E35" i="12"/>
  <c r="F35" i="12" s="1"/>
  <c r="E20" i="2"/>
  <c r="B9" i="23"/>
  <c r="D39" i="17"/>
  <c r="D43" i="17" s="1"/>
  <c r="D29" i="17"/>
  <c r="E29" i="17" s="1"/>
  <c r="D27" i="17"/>
  <c r="E26" i="17"/>
  <c r="E19" i="17"/>
  <c r="H28" i="1"/>
  <c r="D20" i="2"/>
  <c r="H19" i="2"/>
  <c r="D34" i="22" l="1"/>
  <c r="D33" i="22"/>
  <c r="E31" i="22"/>
  <c r="J11" i="10"/>
  <c r="J14" i="10" s="1"/>
  <c r="I15" i="10"/>
  <c r="E46" i="16"/>
  <c r="J32" i="13" s="1"/>
  <c r="G13" i="13" s="1"/>
  <c r="E45" i="16"/>
  <c r="D45" i="16"/>
  <c r="D46" i="16"/>
  <c r="I32" i="13" s="1"/>
  <c r="F13" i="13" s="1"/>
  <c r="F9" i="23"/>
  <c r="D9" i="23"/>
  <c r="H9" i="23" s="1"/>
  <c r="E27" i="17"/>
  <c r="E28" i="17"/>
  <c r="E30" i="17" s="1"/>
  <c r="E39" i="17" s="1"/>
  <c r="E43" i="17" s="1"/>
  <c r="E45" i="17" s="1"/>
  <c r="D46" i="17"/>
  <c r="D45" i="17"/>
  <c r="I28" i="1"/>
  <c r="I19" i="2"/>
  <c r="H23" i="3"/>
  <c r="E34" i="22" l="1"/>
  <c r="E33" i="22"/>
  <c r="K11" i="10"/>
  <c r="K14" i="10" s="1"/>
  <c r="K15" i="10" s="1"/>
  <c r="J15" i="10"/>
  <c r="F19" i="13"/>
  <c r="F18" i="13"/>
  <c r="F17" i="13"/>
  <c r="L9" i="23"/>
  <c r="J9" i="23"/>
  <c r="E46" i="17"/>
  <c r="J33" i="13" s="1"/>
  <c r="G14" i="13" s="1"/>
  <c r="J28" i="1"/>
  <c r="J19" i="2"/>
  <c r="I23" i="3"/>
  <c r="N9" i="23" l="1"/>
  <c r="R9" i="23" s="1"/>
  <c r="T9" i="23" s="1"/>
  <c r="P9" i="23"/>
  <c r="K28" i="1"/>
  <c r="K19" i="2"/>
  <c r="K23" i="3" s="1"/>
  <c r="J23" i="3"/>
  <c r="G47" i="3" l="1"/>
  <c r="G9" i="3"/>
  <c r="H9" i="3" s="1"/>
  <c r="I9" i="3" s="1"/>
  <c r="J9" i="3" s="1"/>
  <c r="K9" i="3" s="1"/>
  <c r="H47" i="3" l="1"/>
  <c r="I47" i="3" s="1"/>
  <c r="J47" i="3" s="1"/>
  <c r="K47" i="3" s="1"/>
  <c r="G38" i="1"/>
  <c r="H32" i="1"/>
  <c r="I32" i="1" s="1"/>
  <c r="J32" i="1" s="1"/>
  <c r="K32" i="1" s="1"/>
  <c r="G41" i="3"/>
  <c r="G42" i="3"/>
  <c r="H42" i="3"/>
  <c r="K42" i="3" s="1"/>
  <c r="I42" i="3"/>
  <c r="D40" i="3"/>
  <c r="F40" i="3"/>
  <c r="E40" i="3"/>
  <c r="F16" i="3"/>
  <c r="E16" i="3"/>
  <c r="D16" i="3"/>
  <c r="F24" i="3"/>
  <c r="E24" i="3"/>
  <c r="D24" i="3"/>
  <c r="J42" i="3" l="1"/>
  <c r="H38" i="1"/>
  <c r="G16" i="3"/>
  <c r="H41" i="3"/>
  <c r="F25" i="3"/>
  <c r="E25" i="3"/>
  <c r="D25" i="3"/>
  <c r="D48" i="3" s="1"/>
  <c r="H16" i="3" l="1"/>
  <c r="I16" i="3" s="1"/>
  <c r="J16" i="3" s="1"/>
  <c r="K16" i="3" s="1"/>
  <c r="I38" i="1"/>
  <c r="I41" i="3"/>
  <c r="J38" i="1" l="1"/>
  <c r="J41" i="3"/>
  <c r="K41" i="3" s="1"/>
  <c r="K38" i="1" l="1"/>
  <c r="F19" i="9"/>
  <c r="E19" i="9"/>
  <c r="D19" i="9"/>
  <c r="F10" i="5"/>
  <c r="F60" i="5" s="1"/>
  <c r="E10" i="5"/>
  <c r="E60" i="5" s="1"/>
  <c r="D10" i="5"/>
  <c r="D60" i="5" s="1"/>
  <c r="F19" i="5"/>
  <c r="E19" i="5"/>
  <c r="D19" i="5"/>
  <c r="D61" i="5" s="1"/>
  <c r="E12" i="2" l="1"/>
  <c r="E61" i="5"/>
  <c r="F12" i="2"/>
  <c r="G12" i="2" s="1"/>
  <c r="H12" i="2" s="1"/>
  <c r="I12" i="2" s="1"/>
  <c r="J12" i="2" s="1"/>
  <c r="K12" i="2" s="1"/>
  <c r="F61" i="5"/>
  <c r="E16" i="2"/>
  <c r="G16" i="2" s="1"/>
  <c r="E8" i="2"/>
  <c r="F8" i="2"/>
  <c r="G8" i="2" s="1"/>
  <c r="H8" i="2" s="1"/>
  <c r="I8" i="2" s="1"/>
  <c r="J8" i="2" s="1"/>
  <c r="K8" i="2" s="1"/>
  <c r="F16" i="2"/>
  <c r="G35" i="10"/>
  <c r="H32" i="10" s="1"/>
  <c r="H35" i="10" s="1"/>
  <c r="I32" i="10" s="1"/>
  <c r="I35" i="10" s="1"/>
  <c r="J32" i="10" s="1"/>
  <c r="J35" i="10" s="1"/>
  <c r="K32" i="10" s="1"/>
  <c r="K35" i="10" s="1"/>
  <c r="H51" i="3"/>
  <c r="J51" i="3" s="1"/>
  <c r="G51" i="3"/>
  <c r="I51" i="3" s="1"/>
  <c r="K51" i="3" s="1"/>
  <c r="H49" i="3"/>
  <c r="J49" i="3" s="1"/>
  <c r="G49" i="3"/>
  <c r="I49" i="3" s="1"/>
  <c r="G6" i="10"/>
  <c r="G18" i="10"/>
  <c r="H39" i="3"/>
  <c r="J39" i="3" s="1"/>
  <c r="G39" i="3"/>
  <c r="I39" i="3" s="1"/>
  <c r="K39" i="3" s="1"/>
  <c r="G38" i="3"/>
  <c r="G34" i="3"/>
  <c r="H34" i="3" s="1"/>
  <c r="I34" i="3" s="1"/>
  <c r="J34" i="3" s="1"/>
  <c r="K34" i="3" s="1"/>
  <c r="G6" i="9"/>
  <c r="G13" i="9" s="1"/>
  <c r="B6" i="9"/>
  <c r="C16" i="9"/>
  <c r="C17" i="9"/>
  <c r="C18" i="9"/>
  <c r="H11" i="9"/>
  <c r="I11" i="9" s="1"/>
  <c r="J13" i="9"/>
  <c r="C15" i="9"/>
  <c r="G33" i="3"/>
  <c r="G30" i="3"/>
  <c r="H30" i="3" s="1"/>
  <c r="I30" i="3" s="1"/>
  <c r="J30" i="3" s="1"/>
  <c r="K30" i="3" s="1"/>
  <c r="G29" i="3"/>
  <c r="H33" i="3" l="1"/>
  <c r="G35" i="3"/>
  <c r="G40" i="3"/>
  <c r="G12" i="1"/>
  <c r="H29" i="3"/>
  <c r="I29" i="3" s="1"/>
  <c r="J29" i="3" s="1"/>
  <c r="K29" i="3" s="1"/>
  <c r="G21" i="10"/>
  <c r="H18" i="10" s="1"/>
  <c r="G25" i="10"/>
  <c r="H38" i="3"/>
  <c r="K49" i="3"/>
  <c r="K13" i="9"/>
  <c r="H13" i="9"/>
  <c r="I13" i="9"/>
  <c r="J11" i="9"/>
  <c r="K11" i="9" s="1"/>
  <c r="C14" i="9"/>
  <c r="G22" i="10" l="1"/>
  <c r="H21" i="10"/>
  <c r="I18" i="10" s="1"/>
  <c r="I33" i="3"/>
  <c r="H35" i="3"/>
  <c r="G21" i="1"/>
  <c r="H21" i="1" s="1"/>
  <c r="H12" i="1"/>
  <c r="I12" i="1" s="1"/>
  <c r="J12" i="1" s="1"/>
  <c r="K12" i="1" s="1"/>
  <c r="H40" i="3"/>
  <c r="I38" i="3"/>
  <c r="I40" i="3" s="1"/>
  <c r="G28" i="10"/>
  <c r="H25" i="10" s="1"/>
  <c r="H22" i="10" l="1"/>
  <c r="I21" i="10"/>
  <c r="J33" i="3"/>
  <c r="I35" i="3"/>
  <c r="J38" i="3"/>
  <c r="J40" i="3" s="1"/>
  <c r="H28" i="10"/>
  <c r="G29" i="10"/>
  <c r="G39" i="10" s="1"/>
  <c r="G28" i="5" s="1"/>
  <c r="E23" i="14" s="1"/>
  <c r="K38" i="3"/>
  <c r="H29" i="10" l="1"/>
  <c r="H39" i="10" s="1"/>
  <c r="H28" i="5" s="1"/>
  <c r="I25" i="10"/>
  <c r="J18" i="10"/>
  <c r="J21" i="10" s="1"/>
  <c r="I22" i="10"/>
  <c r="K33" i="3"/>
  <c r="K35" i="3" s="1"/>
  <c r="J35" i="3"/>
  <c r="I21" i="1"/>
  <c r="K40" i="3"/>
  <c r="I28" i="10"/>
  <c r="G55" i="5"/>
  <c r="H55" i="5" s="1"/>
  <c r="I55" i="5" s="1"/>
  <c r="J55" i="5" s="1"/>
  <c r="K55" i="5" s="1"/>
  <c r="G54" i="5"/>
  <c r="H54" i="5" s="1"/>
  <c r="I54" i="5" s="1"/>
  <c r="J54" i="5" s="1"/>
  <c r="K54" i="5" s="1"/>
  <c r="G43" i="5"/>
  <c r="H43" i="5"/>
  <c r="I43" i="5"/>
  <c r="J43" i="5"/>
  <c r="K43" i="5"/>
  <c r="F48" i="3"/>
  <c r="F50" i="3" s="1"/>
  <c r="D43" i="5"/>
  <c r="F43" i="5"/>
  <c r="E43" i="5"/>
  <c r="F36" i="5"/>
  <c r="D31" i="14" s="1"/>
  <c r="D39" i="14" s="1"/>
  <c r="D43" i="14" s="1"/>
  <c r="E36" i="5"/>
  <c r="D36" i="5"/>
  <c r="F33" i="5"/>
  <c r="F18" i="2" s="1"/>
  <c r="G18" i="2" s="1"/>
  <c r="H18" i="2" s="1"/>
  <c r="I18" i="2" s="1"/>
  <c r="J18" i="2" s="1"/>
  <c r="K18" i="2" s="1"/>
  <c r="E33" i="5"/>
  <c r="E18" i="2" s="1"/>
  <c r="D33" i="5"/>
  <c r="F29" i="5"/>
  <c r="E29" i="5"/>
  <c r="D29" i="5"/>
  <c r="F28" i="5"/>
  <c r="E28" i="5"/>
  <c r="D28" i="5"/>
  <c r="F26" i="5"/>
  <c r="E26" i="5"/>
  <c r="D26" i="5"/>
  <c r="I26" i="5" s="1"/>
  <c r="F25" i="5"/>
  <c r="H25" i="5" s="1"/>
  <c r="J25" i="5" s="1"/>
  <c r="E25" i="5"/>
  <c r="G25" i="5" s="1"/>
  <c r="D25" i="5"/>
  <c r="F6" i="5"/>
  <c r="F32" i="3" s="1"/>
  <c r="G32" i="3" s="1"/>
  <c r="E6" i="5"/>
  <c r="E7" i="5" s="1"/>
  <c r="E59" i="5" s="1"/>
  <c r="D6" i="5"/>
  <c r="D7" i="5" s="1"/>
  <c r="D59" i="5" s="1"/>
  <c r="D50" i="3"/>
  <c r="D52" i="3" s="1"/>
  <c r="E48" i="3"/>
  <c r="E50" i="3" s="1"/>
  <c r="E52" i="3" s="1"/>
  <c r="E5" i="3"/>
  <c r="F5" i="3" s="1"/>
  <c r="G5" i="3" s="1"/>
  <c r="H5" i="3" s="1"/>
  <c r="I5" i="3" s="1"/>
  <c r="J5" i="3" s="1"/>
  <c r="K5" i="3" s="1"/>
  <c r="F36" i="1"/>
  <c r="E36" i="1"/>
  <c r="E41" i="1" s="1"/>
  <c r="D36" i="1"/>
  <c r="D41" i="1" s="1"/>
  <c r="D34" i="1"/>
  <c r="E21" i="1"/>
  <c r="D21" i="1"/>
  <c r="F22" i="1"/>
  <c r="E12" i="5" l="1"/>
  <c r="E13" i="5" s="1"/>
  <c r="E10" i="2"/>
  <c r="I25" i="5"/>
  <c r="K25" i="5" s="1"/>
  <c r="E20" i="14"/>
  <c r="K26" i="5"/>
  <c r="J26" i="5"/>
  <c r="H26" i="5"/>
  <c r="G26" i="5"/>
  <c r="E21" i="14" s="1"/>
  <c r="D46" i="14"/>
  <c r="I27" i="13" s="1"/>
  <c r="F6" i="13" s="1"/>
  <c r="D45" i="14"/>
  <c r="I29" i="10"/>
  <c r="I39" i="10" s="1"/>
  <c r="I28" i="5" s="1"/>
  <c r="J25" i="10"/>
  <c r="K18" i="10"/>
  <c r="K21" i="10" s="1"/>
  <c r="K22" i="10" s="1"/>
  <c r="J22" i="10"/>
  <c r="F52" i="3"/>
  <c r="J21" i="1"/>
  <c r="K21" i="1" s="1"/>
  <c r="F41" i="1"/>
  <c r="E22" i="1"/>
  <c r="E34" i="1"/>
  <c r="E42" i="1" s="1"/>
  <c r="F34" i="1"/>
  <c r="F42" i="1" s="1"/>
  <c r="F44" i="1" s="1"/>
  <c r="D42" i="1"/>
  <c r="D22" i="1"/>
  <c r="J28" i="10"/>
  <c r="D13" i="2"/>
  <c r="D21" i="2" s="1"/>
  <c r="G36" i="5"/>
  <c r="F7" i="5"/>
  <c r="F59" i="5" s="1"/>
  <c r="D32" i="3"/>
  <c r="H32" i="3"/>
  <c r="E32" i="3"/>
  <c r="F13" i="2"/>
  <c r="E13" i="2"/>
  <c r="D30" i="5"/>
  <c r="E30" i="5"/>
  <c r="F30" i="5"/>
  <c r="E18" i="5"/>
  <c r="G18" i="5" s="1"/>
  <c r="E16" i="5"/>
  <c r="E8" i="5"/>
  <c r="D18" i="5"/>
  <c r="H18" i="5" s="1"/>
  <c r="I18" i="5" s="1"/>
  <c r="J18" i="5" s="1"/>
  <c r="K18" i="5" s="1"/>
  <c r="D12" i="5"/>
  <c r="D16" i="5"/>
  <c r="F16" i="5"/>
  <c r="G16" i="5" s="1"/>
  <c r="H16" i="5" s="1"/>
  <c r="I16" i="5" s="1"/>
  <c r="J16" i="5" s="1"/>
  <c r="K16" i="5" s="1"/>
  <c r="D11" i="5"/>
  <c r="E11" i="5"/>
  <c r="F8" i="5" l="1"/>
  <c r="G8" i="5"/>
  <c r="F10" i="2"/>
  <c r="G10" i="2" s="1"/>
  <c r="H36" i="5"/>
  <c r="E31" i="14"/>
  <c r="J29" i="10"/>
  <c r="J39" i="10" s="1"/>
  <c r="J28" i="5" s="1"/>
  <c r="K25" i="10"/>
  <c r="K28" i="10" s="1"/>
  <c r="E44" i="1"/>
  <c r="K29" i="10"/>
  <c r="K39" i="10" s="1"/>
  <c r="K28" i="5" s="1"/>
  <c r="D44" i="1"/>
  <c r="D20" i="5"/>
  <c r="D23" i="5" s="1"/>
  <c r="F18" i="5"/>
  <c r="F11" i="5"/>
  <c r="G11" i="5" s="1"/>
  <c r="H11" i="5" s="1"/>
  <c r="I11" i="5" s="1"/>
  <c r="J11" i="5" s="1"/>
  <c r="K11" i="5" s="1"/>
  <c r="F12" i="5"/>
  <c r="I32" i="3"/>
  <c r="I36" i="5"/>
  <c r="J36" i="5" s="1"/>
  <c r="K36" i="5" s="1"/>
  <c r="D13" i="5"/>
  <c r="E20" i="5"/>
  <c r="E23" i="5" s="1"/>
  <c r="E21" i="2"/>
  <c r="F21" i="2"/>
  <c r="F20" i="5" l="1"/>
  <c r="F22" i="12" s="1"/>
  <c r="H10" i="2"/>
  <c r="I10" i="2" s="1"/>
  <c r="J10" i="2" s="1"/>
  <c r="K10" i="2" s="1"/>
  <c r="G9" i="2"/>
  <c r="G18" i="3" s="1"/>
  <c r="G11" i="1" s="1"/>
  <c r="F13" i="5"/>
  <c r="G10" i="5"/>
  <c r="G60" i="5" s="1"/>
  <c r="G31" i="3"/>
  <c r="G17" i="5"/>
  <c r="G15" i="5"/>
  <c r="J32" i="3"/>
  <c r="E21" i="5"/>
  <c r="F21" i="5"/>
  <c r="D21" i="5"/>
  <c r="F23" i="5" l="1"/>
  <c r="G12" i="5"/>
  <c r="G13" i="5" s="1"/>
  <c r="E8" i="14"/>
  <c r="E10" i="14" s="1"/>
  <c r="G7" i="2"/>
  <c r="G12" i="12"/>
  <c r="G36" i="3"/>
  <c r="H17" i="5"/>
  <c r="H9" i="2"/>
  <c r="G19" i="5"/>
  <c r="G61" i="5" s="1"/>
  <c r="H15" i="5"/>
  <c r="G7" i="9"/>
  <c r="I7" i="5"/>
  <c r="H10" i="5"/>
  <c r="H60" i="5" s="1"/>
  <c r="H31" i="3"/>
  <c r="K32" i="3"/>
  <c r="F31" i="5"/>
  <c r="F62" i="5" s="1"/>
  <c r="F24" i="5"/>
  <c r="D31" i="5"/>
  <c r="D24" i="5"/>
  <c r="E31" i="5"/>
  <c r="E24" i="5"/>
  <c r="E35" i="5" l="1"/>
  <c r="E44" i="5" s="1"/>
  <c r="E62" i="5"/>
  <c r="D35" i="5"/>
  <c r="D44" i="5" s="1"/>
  <c r="D62" i="5"/>
  <c r="I9" i="2"/>
  <c r="I59" i="5"/>
  <c r="H19" i="5"/>
  <c r="H12" i="5"/>
  <c r="H7" i="2"/>
  <c r="H19" i="3" s="1"/>
  <c r="H18" i="3"/>
  <c r="H11" i="1" s="1"/>
  <c r="G19" i="3"/>
  <c r="G10" i="1" s="1"/>
  <c r="E12" i="14"/>
  <c r="E13" i="14" s="1"/>
  <c r="G11" i="2"/>
  <c r="G20" i="3" s="1"/>
  <c r="G14" i="1" s="1"/>
  <c r="E14" i="14"/>
  <c r="E11" i="14"/>
  <c r="I18" i="3"/>
  <c r="H12" i="12"/>
  <c r="H36" i="3"/>
  <c r="F34" i="5"/>
  <c r="F35" i="5"/>
  <c r="F44" i="5" s="1"/>
  <c r="G20" i="5"/>
  <c r="G21" i="5" s="1"/>
  <c r="H7" i="9"/>
  <c r="I14" i="9"/>
  <c r="K14" i="9"/>
  <c r="G14" i="9"/>
  <c r="G19" i="9" s="1"/>
  <c r="H14" i="9"/>
  <c r="J14" i="9"/>
  <c r="J7" i="5"/>
  <c r="J59" i="5" s="1"/>
  <c r="I10" i="5"/>
  <c r="I60" i="5" s="1"/>
  <c r="I31" i="3"/>
  <c r="I15" i="5"/>
  <c r="I17" i="5"/>
  <c r="E32" i="5"/>
  <c r="E34" i="5"/>
  <c r="D48" i="5"/>
  <c r="D32" i="5"/>
  <c r="D34" i="5"/>
  <c r="F32" i="5"/>
  <c r="D44" i="3" l="1"/>
  <c r="D63" i="5"/>
  <c r="H11" i="2"/>
  <c r="H61" i="5"/>
  <c r="H20" i="5"/>
  <c r="H21" i="5" s="1"/>
  <c r="G13" i="2"/>
  <c r="H13" i="5"/>
  <c r="I11" i="1"/>
  <c r="J17" i="5"/>
  <c r="J9" i="2"/>
  <c r="I12" i="12"/>
  <c r="I36" i="3"/>
  <c r="H10" i="1"/>
  <c r="I12" i="5"/>
  <c r="I13" i="5" s="1"/>
  <c r="I7" i="2"/>
  <c r="H13" i="2"/>
  <c r="E15" i="14"/>
  <c r="B11" i="23"/>
  <c r="H27" i="13"/>
  <c r="M6" i="13" s="1"/>
  <c r="H20" i="3"/>
  <c r="H14" i="1" s="1"/>
  <c r="D29" i="14"/>
  <c r="G34" i="5"/>
  <c r="J15" i="5"/>
  <c r="G22" i="5"/>
  <c r="E16" i="14" s="1"/>
  <c r="E17" i="14" s="1"/>
  <c r="I19" i="5"/>
  <c r="I7" i="9"/>
  <c r="J10" i="5"/>
  <c r="J60" i="5" s="1"/>
  <c r="K7" i="5"/>
  <c r="J31" i="3"/>
  <c r="K15" i="9"/>
  <c r="J15" i="9"/>
  <c r="I15" i="9"/>
  <c r="H15" i="9"/>
  <c r="H19" i="9" s="1"/>
  <c r="D51" i="5"/>
  <c r="F48" i="5"/>
  <c r="F63" i="5" s="1"/>
  <c r="E48" i="5"/>
  <c r="E63" i="5" s="1"/>
  <c r="K9" i="2" l="1"/>
  <c r="K18" i="3" s="1"/>
  <c r="K59" i="5"/>
  <c r="L59" i="5" s="1"/>
  <c r="I11" i="2"/>
  <c r="I20" i="3" s="1"/>
  <c r="I61" i="5"/>
  <c r="I14" i="1"/>
  <c r="J19" i="5"/>
  <c r="I19" i="3"/>
  <c r="I10" i="1" s="1"/>
  <c r="I13" i="2"/>
  <c r="J12" i="5"/>
  <c r="J7" i="2"/>
  <c r="J19" i="3" s="1"/>
  <c r="F11" i="23"/>
  <c r="D11" i="23"/>
  <c r="H11" i="23" s="1"/>
  <c r="J18" i="3"/>
  <c r="J11" i="1" s="1"/>
  <c r="K11" i="1" s="1"/>
  <c r="J12" i="12"/>
  <c r="J36" i="3"/>
  <c r="E50" i="5"/>
  <c r="E44" i="3"/>
  <c r="F51" i="5"/>
  <c r="F44" i="3"/>
  <c r="G44" i="3" s="1"/>
  <c r="H44" i="3" s="1"/>
  <c r="I44" i="3" s="1"/>
  <c r="J44" i="3" s="1"/>
  <c r="K44" i="3" s="1"/>
  <c r="E29" i="14"/>
  <c r="L27" i="12"/>
  <c r="F17" i="12" s="1"/>
  <c r="H34" i="5"/>
  <c r="G23" i="5"/>
  <c r="G7" i="12" s="1"/>
  <c r="G13" i="12" s="1"/>
  <c r="G8" i="3"/>
  <c r="I20" i="5"/>
  <c r="H22" i="5"/>
  <c r="K10" i="5"/>
  <c r="K60" i="5" s="1"/>
  <c r="L60" i="5" s="1"/>
  <c r="K31" i="3"/>
  <c r="J16" i="9"/>
  <c r="I16" i="9"/>
  <c r="I19" i="9" s="1"/>
  <c r="K16" i="9"/>
  <c r="K17" i="5"/>
  <c r="J7" i="9"/>
  <c r="K15" i="5"/>
  <c r="D50" i="5"/>
  <c r="E51" i="5"/>
  <c r="F50" i="5"/>
  <c r="J11" i="2" l="1"/>
  <c r="J20" i="3" s="1"/>
  <c r="J61" i="5"/>
  <c r="J20" i="5"/>
  <c r="J21" i="5" s="1"/>
  <c r="J14" i="1"/>
  <c r="J13" i="5"/>
  <c r="J10" i="1"/>
  <c r="J13" i="2"/>
  <c r="F10" i="23"/>
  <c r="F8" i="23" s="1"/>
  <c r="J11" i="23"/>
  <c r="H10" i="23"/>
  <c r="H8" i="23" s="1"/>
  <c r="L11" i="23"/>
  <c r="G16" i="1"/>
  <c r="G8" i="12"/>
  <c r="K12" i="12"/>
  <c r="K36" i="3"/>
  <c r="K12" i="5"/>
  <c r="K13" i="5" s="1"/>
  <c r="K7" i="2"/>
  <c r="I34" i="5"/>
  <c r="G24" i="5"/>
  <c r="H23" i="5"/>
  <c r="H8" i="3"/>
  <c r="K19" i="5"/>
  <c r="I21" i="5"/>
  <c r="I22" i="5"/>
  <c r="K7" i="9"/>
  <c r="K18" i="9" s="1"/>
  <c r="J17" i="9"/>
  <c r="J19" i="9" s="1"/>
  <c r="K17" i="9"/>
  <c r="K11" i="2" l="1"/>
  <c r="K20" i="3" s="1"/>
  <c r="K61" i="5"/>
  <c r="L61" i="5" s="1"/>
  <c r="K14" i="1"/>
  <c r="K13" i="2"/>
  <c r="K19" i="3"/>
  <c r="K10" i="1" s="1"/>
  <c r="H24" i="5"/>
  <c r="H7" i="12"/>
  <c r="H13" i="12" s="1"/>
  <c r="P11" i="23"/>
  <c r="L10" i="23"/>
  <c r="L8" i="23" s="1"/>
  <c r="N11" i="23"/>
  <c r="R11" i="23" s="1"/>
  <c r="T11" i="23" s="1"/>
  <c r="J10" i="23"/>
  <c r="J8" i="23" s="1"/>
  <c r="H16" i="1"/>
  <c r="H8" i="12"/>
  <c r="J34" i="5"/>
  <c r="I23" i="5"/>
  <c r="I7" i="12" s="1"/>
  <c r="I13" i="12" s="1"/>
  <c r="I8" i="3"/>
  <c r="K20" i="5"/>
  <c r="K21" i="5" s="1"/>
  <c r="K19" i="9"/>
  <c r="K22" i="5" s="1"/>
  <c r="J22" i="5"/>
  <c r="I16" i="1" l="1"/>
  <c r="I8" i="12"/>
  <c r="K34" i="5"/>
  <c r="I24" i="5"/>
  <c r="J23" i="5"/>
  <c r="J8" i="3"/>
  <c r="K23" i="5"/>
  <c r="K7" i="12" s="1"/>
  <c r="K8" i="3"/>
  <c r="K8" i="12" s="1"/>
  <c r="F21" i="12" l="1"/>
  <c r="F23" i="12" s="1"/>
  <c r="F24" i="12" s="1"/>
  <c r="E33" i="12" s="1"/>
  <c r="J16" i="1"/>
  <c r="K16" i="1" s="1"/>
  <c r="J8" i="12"/>
  <c r="J24" i="5"/>
  <c r="J7" i="12"/>
  <c r="J13" i="12" s="1"/>
  <c r="K13" i="12"/>
  <c r="K24" i="5"/>
  <c r="H16" i="2" l="1"/>
  <c r="H15" i="2" s="1"/>
  <c r="G15" i="2"/>
  <c r="H21" i="3" l="1"/>
  <c r="G21" i="3"/>
  <c r="I16" i="2"/>
  <c r="J16" i="2" l="1"/>
  <c r="I15" i="2"/>
  <c r="G25" i="1"/>
  <c r="H25" i="1" l="1"/>
  <c r="I21" i="3"/>
  <c r="K16" i="2"/>
  <c r="K15" i="2" s="1"/>
  <c r="J15" i="2"/>
  <c r="I25" i="1" l="1"/>
  <c r="J21" i="3"/>
  <c r="K21" i="3"/>
  <c r="J25" i="1" l="1"/>
  <c r="K25" i="1" l="1"/>
  <c r="D7" i="23" l="1"/>
  <c r="H7" i="23" s="1"/>
  <c r="B18" i="23"/>
  <c r="B10" i="23"/>
  <c r="B12" i="23" s="1"/>
  <c r="H6" i="23" l="1"/>
  <c r="D18" i="23" s="1"/>
  <c r="C18" i="23" s="1"/>
  <c r="L7" i="23"/>
  <c r="D8" i="23"/>
  <c r="J7" i="23"/>
  <c r="J6" i="23" s="1"/>
  <c r="B17" i="23" s="1"/>
  <c r="N7" i="23" l="1"/>
  <c r="P7" i="23"/>
  <c r="D10" i="23"/>
  <c r="D12" i="23" s="1"/>
  <c r="L6" i="23"/>
  <c r="D17" i="23" s="1"/>
  <c r="C17" i="23" l="1"/>
  <c r="R7" i="23" l="1"/>
  <c r="N8" i="23"/>
  <c r="N10" i="23" s="1"/>
  <c r="N12" i="23" s="1"/>
  <c r="T7" i="23"/>
  <c r="T8" i="23" s="1"/>
  <c r="T10" i="23" s="1"/>
  <c r="T12" i="23" s="1"/>
  <c r="P8" i="23"/>
  <c r="P10" i="23" s="1"/>
  <c r="P12" i="23" s="1"/>
  <c r="E27" i="21"/>
  <c r="E29" i="21"/>
  <c r="E34" i="21"/>
  <c r="R8" i="23" l="1"/>
  <c r="R10" i="23" s="1"/>
  <c r="R12" i="23" s="1"/>
  <c r="E37" i="21"/>
  <c r="E36" i="21"/>
  <c r="G17" i="13"/>
  <c r="G18" i="13"/>
  <c r="G19" i="13"/>
  <c r="G8" i="1" l="1"/>
  <c r="H8" i="1"/>
  <c r="I8" i="1"/>
  <c r="J8" i="1"/>
  <c r="K8" i="1"/>
  <c r="G15" i="1"/>
  <c r="H15" i="1"/>
  <c r="I15" i="1"/>
  <c r="J15" i="1"/>
  <c r="K15" i="1"/>
  <c r="G22" i="1"/>
  <c r="H22" i="1"/>
  <c r="I22" i="1"/>
  <c r="J22" i="1"/>
  <c r="K22" i="1"/>
  <c r="G29" i="1"/>
  <c r="H29" i="1"/>
  <c r="I29" i="1"/>
  <c r="J29" i="1"/>
  <c r="K29" i="1"/>
  <c r="G30" i="1"/>
  <c r="H30" i="1"/>
  <c r="I30" i="1"/>
  <c r="J30" i="1"/>
  <c r="K30" i="1"/>
  <c r="G34" i="1"/>
  <c r="H34" i="1"/>
  <c r="I34" i="1"/>
  <c r="J34" i="1"/>
  <c r="K34" i="1"/>
  <c r="G40" i="1"/>
  <c r="H40" i="1"/>
  <c r="I40" i="1"/>
  <c r="J40" i="1"/>
  <c r="K40" i="1"/>
  <c r="G41" i="1"/>
  <c r="H41" i="1"/>
  <c r="I41" i="1"/>
  <c r="J41" i="1"/>
  <c r="K41" i="1"/>
  <c r="G42" i="1"/>
  <c r="H42" i="1"/>
  <c r="I42" i="1"/>
  <c r="J42" i="1"/>
  <c r="K42" i="1"/>
  <c r="G44" i="1"/>
  <c r="H44" i="1"/>
  <c r="I44" i="1"/>
  <c r="J44" i="1"/>
  <c r="K44" i="1"/>
  <c r="G7" i="3"/>
  <c r="H7" i="3"/>
  <c r="I7" i="3"/>
  <c r="J7" i="3"/>
  <c r="K7" i="3"/>
  <c r="G22" i="3"/>
  <c r="H22" i="3"/>
  <c r="I22" i="3"/>
  <c r="J22" i="3"/>
  <c r="K22" i="3"/>
  <c r="G24" i="3"/>
  <c r="H24" i="3"/>
  <c r="I24" i="3"/>
  <c r="J24" i="3"/>
  <c r="K24" i="3"/>
  <c r="G25" i="3"/>
  <c r="H25" i="3"/>
  <c r="I25" i="3"/>
  <c r="J25" i="3"/>
  <c r="K25" i="3"/>
  <c r="G43" i="3"/>
  <c r="H43" i="3"/>
  <c r="I43" i="3"/>
  <c r="J43" i="3"/>
  <c r="K43" i="3"/>
  <c r="G46" i="3"/>
  <c r="H46" i="3"/>
  <c r="I46" i="3"/>
  <c r="J46" i="3"/>
  <c r="K46" i="3"/>
  <c r="G48" i="3"/>
  <c r="H48" i="3"/>
  <c r="I48" i="3"/>
  <c r="J48" i="3"/>
  <c r="K48" i="3"/>
  <c r="G50" i="3"/>
  <c r="H50" i="3"/>
  <c r="I50" i="3"/>
  <c r="J50" i="3"/>
  <c r="K50" i="3"/>
  <c r="G52" i="3"/>
  <c r="H52" i="3"/>
  <c r="I52" i="3"/>
  <c r="J52" i="3"/>
  <c r="K52" i="3"/>
  <c r="G54" i="3"/>
  <c r="H54" i="3"/>
  <c r="I54" i="3"/>
  <c r="J54" i="3"/>
  <c r="K54" i="3"/>
  <c r="G58" i="3"/>
  <c r="H58" i="3"/>
  <c r="I58" i="3"/>
  <c r="J58" i="3"/>
  <c r="K58" i="3"/>
  <c r="G59" i="3"/>
  <c r="H59" i="3"/>
  <c r="I59" i="3"/>
  <c r="J59" i="3"/>
  <c r="K59" i="3"/>
  <c r="G62" i="3"/>
  <c r="I62" i="3"/>
  <c r="G63" i="3"/>
  <c r="H63" i="3"/>
  <c r="I63" i="3"/>
  <c r="J63" i="3"/>
  <c r="K63" i="3"/>
  <c r="E24" i="14"/>
  <c r="E25" i="14"/>
  <c r="E26" i="14"/>
  <c r="E27" i="14"/>
  <c r="E28" i="14"/>
  <c r="E30" i="14"/>
  <c r="E39" i="14"/>
  <c r="E43" i="14"/>
  <c r="E45" i="14"/>
  <c r="E46" i="14"/>
  <c r="G6" i="13"/>
  <c r="J27" i="13"/>
  <c r="G11" i="12"/>
  <c r="H11" i="12"/>
  <c r="I11" i="12"/>
  <c r="J11" i="12"/>
  <c r="K11" i="12"/>
  <c r="G14" i="12"/>
  <c r="H14" i="12"/>
  <c r="I14" i="12"/>
  <c r="J14" i="12"/>
  <c r="K14" i="12"/>
  <c r="G17" i="12"/>
  <c r="H17" i="12"/>
  <c r="I17" i="12"/>
  <c r="J17" i="12"/>
  <c r="K17" i="12"/>
  <c r="G18" i="12"/>
  <c r="F26" i="12"/>
  <c r="F28" i="12"/>
  <c r="F29" i="12"/>
  <c r="J31" i="12"/>
  <c r="E32" i="12"/>
  <c r="F32" i="12"/>
  <c r="F33" i="12"/>
  <c r="E34" i="12"/>
  <c r="F34" i="12"/>
  <c r="E36" i="12"/>
  <c r="F36" i="12"/>
  <c r="E38" i="12"/>
  <c r="F38" i="12"/>
  <c r="K40" i="12"/>
  <c r="H6" i="10"/>
  <c r="I6" i="10"/>
  <c r="J6" i="10"/>
  <c r="K6" i="10"/>
  <c r="G7" i="10"/>
  <c r="H7" i="10"/>
  <c r="I7" i="10"/>
  <c r="J7" i="10"/>
  <c r="K7" i="10"/>
  <c r="G9" i="10"/>
  <c r="H9" i="10"/>
  <c r="I9" i="10"/>
  <c r="J9" i="10"/>
  <c r="K9" i="10"/>
  <c r="G40" i="10"/>
  <c r="H40" i="10"/>
  <c r="I40" i="10"/>
  <c r="J40" i="10"/>
  <c r="K40" i="10"/>
  <c r="G41" i="10"/>
  <c r="H41" i="10"/>
  <c r="I41" i="10"/>
  <c r="J41" i="10"/>
  <c r="K41" i="10"/>
  <c r="G29" i="5"/>
  <c r="H29" i="5"/>
  <c r="I29" i="5"/>
  <c r="J29" i="5"/>
  <c r="K29" i="5"/>
  <c r="G30" i="5"/>
  <c r="H30" i="5"/>
  <c r="I30" i="5"/>
  <c r="J30" i="5"/>
  <c r="K30" i="5"/>
  <c r="G31" i="5"/>
  <c r="H31" i="5"/>
  <c r="I31" i="5"/>
  <c r="J31" i="5"/>
  <c r="K31" i="5"/>
  <c r="G32" i="5"/>
  <c r="H32" i="5"/>
  <c r="I32" i="5"/>
  <c r="J32" i="5"/>
  <c r="K32" i="5"/>
  <c r="G33" i="5"/>
  <c r="H33" i="5"/>
  <c r="I33" i="5"/>
  <c r="J33" i="5"/>
  <c r="K33" i="5"/>
  <c r="G35" i="5"/>
  <c r="H35" i="5"/>
  <c r="I35" i="5"/>
  <c r="J35" i="5"/>
  <c r="K35" i="5"/>
  <c r="G44" i="5"/>
  <c r="H44" i="5"/>
  <c r="I44" i="5"/>
  <c r="J44" i="5"/>
  <c r="K44" i="5"/>
  <c r="G48" i="5"/>
  <c r="H48" i="5"/>
  <c r="I48" i="5"/>
  <c r="J48" i="5"/>
  <c r="K48" i="5"/>
  <c r="G50" i="5"/>
  <c r="H50" i="5"/>
  <c r="I50" i="5"/>
  <c r="J50" i="5"/>
  <c r="K50" i="5"/>
  <c r="G51" i="5"/>
  <c r="H51" i="5"/>
  <c r="I51" i="5"/>
  <c r="J51" i="5"/>
  <c r="K51" i="5"/>
  <c r="G62" i="5"/>
  <c r="H62" i="5"/>
  <c r="I62" i="5"/>
  <c r="J62" i="5"/>
  <c r="K62" i="5"/>
  <c r="L62" i="5"/>
  <c r="G63" i="5"/>
  <c r="H63" i="5"/>
  <c r="I63" i="5"/>
  <c r="J63" i="5"/>
  <c r="K63" i="5"/>
  <c r="L63" i="5"/>
  <c r="G17" i="2"/>
  <c r="H17" i="2"/>
  <c r="I17" i="2"/>
  <c r="J17" i="2"/>
  <c r="K17" i="2"/>
  <c r="G20" i="2"/>
  <c r="H20" i="2"/>
  <c r="I20" i="2"/>
  <c r="J20" i="2"/>
  <c r="K20" i="2"/>
  <c r="G21" i="2"/>
  <c r="H21" i="2"/>
  <c r="I21" i="2"/>
  <c r="J21" i="2"/>
  <c r="K21" i="2"/>
  <c r="G22" i="2"/>
  <c r="H22" i="2"/>
  <c r="I22" i="2"/>
  <c r="J22" i="2"/>
  <c r="K2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tc={C10108E3-F458-4E23-B37A-D82F24D29FE0}</author>
    <author>tc={4BB51090-94B7-4F2A-9A0B-5EE7D203ABFB}</author>
    <author>tc={9854EEF6-8E40-42F0-B261-3DC511D3B434}</author>
    <author>tc={7C27B364-F1D0-42FD-9BC6-F2D8331E7057}</author>
    <author>tc={7762FB9B-37A9-432C-AEF8-5998559095E1}</author>
    <author>tc={2E7F0B78-BD00-4773-81C3-6B0518A733E2}</author>
    <author>tc={D7635750-F448-43C6-832F-2B14AD7BE72F}</author>
    <author>tc={057BC9D6-AD3A-4DEF-B7D2-183CC19A83A2}</author>
    <author>tc={3A8C4966-1ADE-40DE-B404-B8237DB65A05}</author>
    <author>tc={4EE8C2C0-26F8-49A4-AD05-E86201DDDAD7}</author>
  </authors>
  <commentList>
    <comment ref="D8" authorId="0" shapeId="0" xr:uid="{C10108E3-F458-4E23-B37A-D82F24D29FE0}">
      <text>
        <t xml:space="preserve">[Threaded comment]
Your version of Excel allows you to read this threaded comment; however, any edits to it will get removed if the file is opened in a newer version of Excel. Learn more: https://go.microsoft.com/fwlink/?linkid=870924
Comment:
    16% (non-GAAP). This performance was driven by 11% growth in price/mix and 5% growth in concentrate sales </t>
      </text>
    </comment>
    <comment ref="E8" authorId="1" shapeId="0" xr:uid="{4BB51090-94B7-4F2A-9A0B-5EE7D203ABFB}">
      <text>
        <t xml:space="preserve">[Threaded comment]
Your version of Excel allows you to read this threaded comment; however, any edits to it will get removed if the file is opened in a newer version of Excel. Learn more: https://go.microsoft.com/fwlink/?linkid=870924
Comment:
    12% (non-GAAP). driven by 10% growth in price/mix and 2% growth in concentrate sales. </t>
      </text>
    </comment>
    <comment ref="F8" authorId="2" shapeId="0" xr:uid="{9854EEF6-8E40-42F0-B261-3DC511D3B434}">
      <text>
        <t xml:space="preserve">[Threaded comment]
Your version of Excel allows you to read this threaded comment; however, any edits to it will get removed if the file is opened in a newer version of Excel. Learn more: https://go.microsoft.com/fwlink/?linkid=870924
Comment:
    12% (non-GAAP).grew 12%, driven by 11% growth in price/mix and 2% growth in concentrate sales.Concentrate sales were 1 point ahead of unit case volume, primarily due to the timing of concentrate shipments. </t>
      </text>
    </comment>
    <comment ref="F17" authorId="3" shapeId="0" xr:uid="{7C27B364-F1D0-42FD-9BC6-F2D8331E7057}">
      <text>
        <t>[Threaded comment]
Your version of Excel allows you to read this threaded comment; however, any edits to it will get removed if the file is opened in a newer version of Excel. Learn more: https://go.microsoft.com/fwlink/?linkid=870924
Comment:
    Had to pay fairlife deal from 2020 3109(paid in 2024). Impairment done to the 'BodyArmor' trademark lost 760, 133 to company productivity, impairment of trademark in latin America losing 126.
Reply:
    Page 48</t>
      </text>
    </comment>
    <comment ref="G19" authorId="4" shapeId="0" xr:uid="{7762FB9B-37A9-432C-AEF8-5998559095E1}">
      <text>
        <t>[Threaded comment]
Your version of Excel allows you to read this threaded comment; however, any edits to it will get removed if the file is opened in a newer version of Excel. Learn more: https://go.microsoft.com/fwlink/?linkid=870924
Comment:
    Ver onde coloca dep pro futuro e impacto da linha q eu embutir na projeção</t>
      </text>
    </comment>
    <comment ref="E24" authorId="5" shapeId="0" xr:uid="{2E7F0B78-BD00-4773-81C3-6B0518A733E2}">
      <text>
        <t xml:space="preserve">[Threaded comment]
Your version of Excel allows you to read this threaded comment; however, any edits to it will get removed if the file is opened in a newer version of Excel. Learn more: https://go.microsoft.com/fwlink/?linkid=870924
Comment:
    r. For the full year, operating margin was 24.7% versus 25.4% in the prior year, while comparable operating margin (non-GAAP) was 29.1% versus 28.7% in the prior year. Operating margin performance included items impacting comparability and currency headwinds. </t>
      </text>
    </comment>
    <comment ref="F24" authorId="6" shapeId="0" xr:uid="{D7635750-F448-43C6-832F-2B14AD7BE72F}">
      <text>
        <t xml:space="preserve">[Threaded comment]
Your version of Excel allows you to read this threaded comment; however, any edits to it will get removed if the file is opened in a newer version of Excel. Learn more: https://go.microsoft.com/fwlink/?linkid=870924
Comment:
    For the full year, operating margin was Exhibit 99.1 1 21.2% versus 24.7% in the prior year, while comparable operating margin (non-GAAP) was 30.0% versus 29.1% in the prior year.
Full year operating margin included a charge of $3.1 billion related to the remeasurement of the contingent consideration liability to fair value in conjunction with the acquisition of fairlife, LLC (“fairlife”) in 2020. 
. For both the quarter and the full year, comparable operating margin (non-GAAP) expansion was primarily driven by strong organic revenue (non-GAAP) growth and the impact of refranchising bottling operations, partially offset by higher input costs, higher operating expenses and currency headwinds </t>
      </text>
    </comment>
    <comment ref="A26" authorId="7" shapeId="0" xr:uid="{057BC9D6-AD3A-4DEF-B7D2-183CC19A83A2}">
      <text>
        <t xml:space="preserve">[Threaded comment]
Your version of Excel allows you to read this threaded comment; however, any edits to it will get removed if the file is opened in a newer version of Excel. Learn more: https://go.microsoft.com/fwlink/?linkid=870924
Comment:
    In 2024, other income (loss) — net was income of $1,992 million. The Company recorded a net gain of $595 million related to the refranchising of our bottling operations in the Philippines, including the impact of post-closing adjustments, and recognized a net gain of $506 million related to the sale of our ownership interest in an equity method investee in Thailand, including the impact of post-closing adjustments. The Company also recognized a net gain of $338 million related to the sale of a portion of our interest in Coke Consolidated, a net gain of $303 million related to the refranchising of our bottling operations in certain territories in India, including the impact of post-closing adjustments, and a net gain of $290 million related to realized and unrealized gains and losses on equity securities and trading debt securities as well as realized gains and losses on available-for-sale debt securities. Additionally, the Company recognized dividend income of $205 million and net income of $76 million related to the non-service cost components of net periodic benefit cost, of which $21 million was due to pension and other postretirement benefit plan settlement gains. Other income (loss) — net also included net foreign currency exchange losses of $180 million, $114 million of costs related to our trade accounts receivable factoring program and an other-than-temporary impairment charge of $34 million related to an equity method investee in Latin America. </t>
      </text>
    </comment>
    <comment ref="E51" authorId="8" shapeId="0" xr:uid="{3A8C4966-1ADE-40DE-B404-B8237DB65A05}">
      <text>
        <t xml:space="preserve">[Threaded comment]
Your version of Excel allows you to read this threaded comment; however, any edits to it will get removed if the file is opened in a newer version of Excel. Learn more: https://go.microsoft.com/fwlink/?linkid=870924
Comment:
    For the full year, EPS grew 13% to $2.47, and comparable EPS (non-GAAP) grew 8% to $2.69. EPS performance included the impact of an 8-point currency headwind, while comparable EPS (non-GAAP) performance included the impact of a 7-point currency headwind </t>
      </text>
    </comment>
    <comment ref="F51" authorId="9" shapeId="0" xr:uid="{4EE8C2C0-26F8-49A4-AD05-E86201DDDAD7}">
      <text>
        <t xml:space="preserve">[Threaded comment]
Your version of Excel allows you to read this threaded comment; however, any edits to it will get removed if the file is opened in a newer version of Excel. Learn more: https://go.microsoft.com/fwlink/?linkid=870924
Comment:
    . For the full year, EPS declined slightly to $2.46, while comparable EPS (non-GAAP) grew 7% to $2.88. EPS and comparable EPS (non-GAAP) performance both included the impact of a 9-point currency headwind.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Leandro</author>
    <author>tc={36173AF6-1C13-492E-9EAF-2167C0AE131C}</author>
    <author>tc={D890548D-2547-4B37-B149-F9E41928F869}</author>
    <author>tc={F71749F1-C5EB-4F44-9D5B-AE9C0B9515E0}</author>
  </authors>
  <commentList>
    <comment ref="B14" authorId="0" shapeId="0" xr:uid="{472E4CB2-84B5-4C7E-B740-49EE5E25B1EB}">
      <text>
        <r>
          <rPr>
            <b/>
            <sz val="9"/>
            <color indexed="81"/>
            <rFont val="Tahoma"/>
            <family val="2"/>
          </rPr>
          <t>Leandro:
Can I add the grouped lines (in grey in the cash flow) here with the wc</t>
        </r>
      </text>
    </comment>
    <comment ref="F25" authorId="1" shapeId="0" xr:uid="{36173AF6-1C13-492E-9EAF-2167C0AE131C}">
      <text>
        <t xml:space="preserve">[Threaded comment]
Your version of Excel allows you to read this threaded comment; however, any edits to it will get removed if the file is opened in a newer version of Excel. Learn more: https://go.microsoft.com/fwlink/?linkid=870924
Comment:
    Represents the fairlife, LLC (“fairlife”) contingent consideration liability. As of December 31, 2023, this balance was $3,017 million and was recorded in the line item other noncurrent liabilities in our consolidated balance sheet. Refer to Note 17. </t>
      </text>
    </comment>
    <comment ref="E26" authorId="2" shapeId="0" xr:uid="{D890548D-2547-4B37-B149-F9E41928F869}">
      <text>
        <t xml:space="preserve">[Threaded comment]
Your version of Excel allows you to read this threaded comment; however, any edits to it will get removed if the file is opened in a newer version of Excel. Learn more: https://go.microsoft.com/fwlink/?linkid=870924
Comment:
    Loans and notes payable consist primarily of commercial paper issued in the United States. As of December 31, 2024 and 2023, we had $1,139 million and $4,209 million, respectively, in outstanding commercial paper borrowings. Our weighted-average interest rates for commercial paper outstanding were 5.0% and 5.3% as of December 31, 2024 and 2023, respectively. As of December 31, 2024 and 2023, the Company also had $360 million and $348 million, respectively, in lines of credit, short-term credit facilities and other short-term borrowings.
In addition, we had $5,693 million in unused lines of credit and other short-term credit facilities as of December 31, 2024, of which $4,550 million was in corporate backup lines of credit for general purposes. These backup lines of credit expire at various times through 2029. There were no borrowings under these corporate backup lines of credit during 2024. These credit facilities are subject to normal banking terms and conditions. Some of the financial arrangements require compensating balances, none of which was significant to our Company.
</t>
      </text>
    </comment>
    <comment ref="B32" authorId="3" shapeId="0" xr:uid="{F71749F1-C5EB-4F44-9D5B-AE9C0B9515E0}">
      <text>
        <t>[Threaded comment]
Your version of Excel allows you to read this threaded comment; however, any edits to it will get removed if the file is opened in a newer version of Excel. Learn more: https://go.microsoft.com/fwlink/?linkid=870924
Comment:
    The change in wc for this line in 2024 doesn't communciate with cash flow for this period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tc={FBEE50F0-5161-4809-93CB-037E79D3AD1B}</author>
    <author>tc={8CE22D6F-02AB-4235-A819-377AE78B8F5C}</author>
    <author>tc={EE2D81A3-10C4-41D2-9246-19C31F506955}</author>
    <author>tc={3B72B0FC-27E7-450C-9563-BD92753F4CB2}</author>
    <author>tc={651FFB23-7801-4799-B14C-EAB2D877F99D}</author>
    <author>tc={D7BEC6DD-3336-42F5-96C2-7F35493771C2}</author>
    <author>tc={6E7CA75D-B2AC-46FB-A339-F149DE4FA9EA}</author>
    <author>tc={02B47E6B-0699-40B4-A267-7AC956F93A7F}</author>
    <author>tc={D609DEDF-C9CD-4A42-8605-888576EA6749}</author>
    <author>tc={BA3B8A6A-43CE-4F28-B209-9AA931D897A8}</author>
    <author>tc={8AB4047A-8A2C-4A2F-AC13-0419510C2F95}</author>
  </authors>
  <commentList>
    <comment ref="C10" authorId="0" shapeId="0" xr:uid="{FBEE50F0-5161-4809-93CB-037E79D3AD1B}">
      <text>
        <t>[Threaded comment]
Your version of Excel allows you to read this threaded comment; however, any edits to it will get removed if the file is opened in a newer version of Excel. Learn more: https://go.microsoft.com/fwlink/?linkid=870924
Comment:
    We have defered taxes in assets and liabilities. Which one should I use?
and if I group all the parts in grey? Where wouldI use other non cash adjustments</t>
      </text>
    </comment>
    <comment ref="G10" authorId="1" shapeId="0" xr:uid="{8CE22D6F-02AB-4235-A819-377AE78B8F5C}">
      <text>
        <t>[Threaded comment]
Your version of Excel allows you to read this threaded comment; however, any edits to it will get removed if the file is opened in a newer version of Excel. Learn more: https://go.microsoft.com/fwlink/?linkid=870924
Comment:
    Depreciation tab</t>
      </text>
    </comment>
    <comment ref="D11" authorId="2" shapeId="0" xr:uid="{EE2D81A3-10C4-41D2-9246-19C31F506955}">
      <text>
        <t>[Threaded comment]
Your version of Excel allows you to read this threaded comment; however, any edits to it will get removed if the file is opened in a newer version of Excel. Learn more: https://go.microsoft.com/fwlink/?linkid=870924
Comment:
    The company recognizes higher investment gains, but these gains do not actually translate into cash inflows to the company, so they need to be deducted from net income in the statement of cash flows</t>
      </text>
    </comment>
    <comment ref="B13" authorId="3" shapeId="0" xr:uid="{3B72B0FC-27E7-450C-9563-BD92753F4CB2}">
      <text>
        <t>[Threaded comment]
Your version of Excel allows you to read this threaded comment; however, any edits to it will get removed if the file is opened in a newer version of Excel. Learn more: https://go.microsoft.com/fwlink/?linkid=870924
Comment:
    Reflects the company's net gain or loss from asset sales, divestitures or other significant transactions.</t>
      </text>
    </comment>
    <comment ref="F13" authorId="4" shapeId="0" xr:uid="{651FFB23-7801-4799-B14C-EAB2D877F99D}">
      <text>
        <t>[Threaded comment]
Your version of Excel allows you to read this threaded comment; however, any edits to it will get removed if the file is opened in a newer version of Excel. Learn more: https://go.microsoft.com/fwlink/?linkid=870924
Comment:
    A $595 million gain on the sale of the Philippines bottling business, a $506 million gain on the sale of a stake in an equity-method investment company in Thailand, a $338 million gain on the sale of a portion of Coca-Cola Consolidated, and a $290 million gain on the restructuring of the India bottling business
Reply:
    page 113</t>
      </text>
    </comment>
    <comment ref="C17" authorId="5" shapeId="0" xr:uid="{D7BEC6DD-3336-42F5-96C2-7F35493771C2}">
      <text>
        <t>[Threaded comment]
Your version of Excel allows you to read this threaded comment; however, any edits to it will get removed if the file is opened in a newer version of Excel. Learn more: https://go.microsoft.com/fwlink/?linkid=870924
Comment:
    Comes from wc tab</t>
      </text>
    </comment>
    <comment ref="F17" authorId="6" shapeId="0" xr:uid="{6E7CA75D-B2AC-46FB-A339-F149DE4FA9EA}">
      <text>
        <t>[Threaded comment]
Your version of Excel allows you to read this threaded comment; however, any edits to it will get removed if the file is opened in a newer version of Excel. Learn more: https://go.microsoft.com/fwlink/?linkid=870924
Comment:
    $6 billion tax litigation deposit to be paid to the IRS in 2024. Excluding this tax litigation deposit, the company's free cash flow actually increased by 11% year-over-year
Reply:
    page 118</t>
      </text>
    </comment>
    <comment ref="F20" authorId="7" shapeId="0" xr:uid="{02B47E6B-0699-40B4-A267-7AC956F93A7F}">
      <text>
        <t xml:space="preserve">[Threaded comment]
Your version of Excel allows you to read this threaded comment; however, any edits to it will get removed if the file is opened in a newer version of Excel. Learn more: https://go.microsoft.com/fwlink/?linkid=870924
Comment:
    The increase in prepaid expenses and other current assets and other noncurrent assets in 2024 was primarily due to the IRS Tax Litigation Deposit. Refer to Note 12. </t>
      </text>
    </comment>
    <comment ref="C27" authorId="8" shapeId="0" xr:uid="{D609DEDF-C9CD-4A42-8605-888576EA6749}">
      <text>
        <t xml:space="preserve">[Threaded comment]
Your version of Excel allows you to read this threaded comment; however, any edits to it will get removed if the file is opened in a newer version of Excel. Learn more: https://go.microsoft.com/fwlink/?linkid=870924
Comment:
    Connect it with in the assets: 
Purchases of Investments and Proceeds from Disposals of Investments
In 2024, purchases of investments were $5,640 million and proceeds from disposals of investments were $6,589 million, resulting in a net cash inflow of $949 million. In 2023, purchases of investments were $6,698 million and proceeds from disposals of investments were $4,354 million, resulting in a net cash outflow of $2,344 million. This activity primarily represents the purchases of, and proceeds from the disposals of, investments in marketable securities and short-term investments that were made as part of the Company’s overall cash management strategy. Also included in this activity are purchases of, and proceeds from the disposals of, investments held by our captive insurance companies.
</t>
      </text>
    </comment>
    <comment ref="C31" authorId="9" shapeId="0" xr:uid="{BA3B8A6A-43CE-4F28-B209-9AA931D897A8}">
      <text>
        <t xml:space="preserve">[Threaded comment]
Your version of Excel allows you to read this threaded comment; however, any edits to it will get removed if the file is opened in a newer version of Excel. Learn more: https://go.microsoft.com/fwlink/?linkid=870924
Comment:
    I added Proceeds from disposals of property, plant and equipment </t>
      </text>
    </comment>
    <comment ref="C45" authorId="10" shapeId="0" xr:uid="{8AB4047A-8A2C-4A2F-AC13-0419510C2F95}">
      <text>
        <t xml:space="preserve">[Threaded comment]
Your version of Excel allows you to read this threaded comment; however, any edits to it will get removed if the file is opened in a newer version of Excel. Learn more: https://go.microsoft.com/fwlink/?linkid=870924
Comment:
    I used 0 because I didn' know where to use and it's not very important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tc={6586DA2B-B810-438D-B025-153B021A7705}</author>
  </authors>
  <commentList>
    <comment ref="B19" authorId="0" shapeId="0" xr:uid="{6586DA2B-B810-438D-B025-153B021A7705}">
      <text>
        <t>[Threaded comment]
Your version of Excel allows you to read this threaded comment; however, any edits to it will get removed if the file is opened in a newer version of Excel. Learn more: https://go.microsoft.com/fwlink/?linkid=870924
Comment:
    Maybe we should exclude this one because it isn't current, but let's leave like that meanwhile.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Leandro</author>
  </authors>
  <commentList>
    <comment ref="A8" authorId="0" shapeId="0" xr:uid="{CB1DEF97-1C79-4DC1-AB05-45F38EB02825}">
      <text>
        <r>
          <rPr>
            <b/>
            <sz val="9"/>
            <color rgb="FF000000"/>
            <rFont val="Tahoma"/>
            <family val="2"/>
          </rPr>
          <t>Leandro:</t>
        </r>
        <r>
          <rPr>
            <sz val="9"/>
            <color rgb="FF000000"/>
            <rFont val="Tahoma"/>
            <family val="2"/>
          </rPr>
          <t xml:space="preserve">
</t>
        </r>
        <r>
          <rPr>
            <sz val="9"/>
            <color rgb="FF000000"/>
            <rFont val="Tahoma"/>
            <family val="2"/>
          </rPr>
          <t xml:space="preserve">Depreciation is recorded principally by the straight-line method over the estimated useful lives of our assets, which are reviewed periodically and generally have the following
</t>
        </r>
        <r>
          <rPr>
            <sz val="9"/>
            <color rgb="FF000000"/>
            <rFont val="Tahoma"/>
            <family val="2"/>
          </rPr>
          <t xml:space="preserve">ranges: buildings and improvements: 40 years or less; and machinery and equipment: 20 years or less. Land is not depreciated, and construction in progress is not depreciated
</t>
        </r>
        <r>
          <rPr>
            <sz val="9"/>
            <color rgb="FF000000"/>
            <rFont val="Tahoma"/>
            <family val="2"/>
          </rPr>
          <t xml:space="preserve">until ready for service. Leasehold improvements are amortized using the straight-line method over the shorter of the remaining lease term, including renewal options that we are
</t>
        </r>
        <r>
          <rPr>
            <sz val="9"/>
            <color rgb="FF000000"/>
            <rFont val="Tahoma"/>
            <family val="2"/>
          </rPr>
          <t>reasonably certain to exercise, or the estimated useful life of the improvement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Leandro</author>
    <author>tc={7C734E40-EDCD-491E-A567-82563BCCFD01}</author>
    <author>Paul Pignataro</author>
  </authors>
  <commentList>
    <comment ref="J21" authorId="0" shapeId="0" xr:uid="{ECCB2945-32A7-49AC-9862-F4CD1660EA5B}">
      <text>
        <r>
          <rPr>
            <b/>
            <sz val="9"/>
            <color indexed="81"/>
            <rFont val="Tahoma"/>
            <family val="2"/>
          </rPr>
          <t>Leandro:</t>
        </r>
        <r>
          <rPr>
            <sz val="9"/>
            <color indexed="81"/>
            <rFont val="Tahoma"/>
            <family val="2"/>
          </rPr>
          <t xml:space="preserve">
10 Year Treasury Rate</t>
        </r>
      </text>
    </comment>
    <comment ref="C22" authorId="1" shapeId="0" xr:uid="{7C734E40-EDCD-491E-A567-82563BCCFD01}">
      <text>
        <t>[Threaded comment]
Your version of Excel allows you to read this threaded comment; however, any edits to it will get removed if the file is opened in a newer version of Excel. Learn more: https://go.microsoft.com/fwlink/?linkid=870924
Comment:
    Used the price of 2024 to align with the year of debt and cash used</t>
      </text>
    </comment>
    <comment ref="J22" authorId="0" shapeId="0" xr:uid="{E48A31C5-33D7-4CD6-A545-8ED64BB3AD00}">
      <text>
        <r>
          <rPr>
            <b/>
            <sz val="9"/>
            <color indexed="81"/>
            <rFont val="Tahoma"/>
            <family val="2"/>
          </rPr>
          <t>Leandro:</t>
        </r>
        <r>
          <rPr>
            <sz val="9"/>
            <color indexed="81"/>
            <rFont val="Tahoma"/>
            <family val="2"/>
          </rPr>
          <t xml:space="preserve">
Implied ERP on April 1, 2025. 
Damodaran
</t>
        </r>
      </text>
    </comment>
    <comment ref="O22" authorId="2" shapeId="0" xr:uid="{0DAEBFDA-9963-475B-88CC-740F3F4FE964}">
      <text>
        <r>
          <rPr>
            <b/>
            <sz val="9"/>
            <color indexed="81"/>
            <rFont val="Tahoma"/>
            <family val="2"/>
          </rPr>
          <t>Paul Pignataro:</t>
        </r>
        <r>
          <rPr>
            <sz val="9"/>
            <color indexed="81"/>
            <rFont val="Tahoma"/>
            <family val="2"/>
          </rPr>
          <t xml:space="preserve">
As of 7/1/2021</t>
        </r>
      </text>
    </comment>
    <comment ref="J25" authorId="0" shapeId="0" xr:uid="{29250983-7DDD-4F6C-81A4-ABD12EC74947}">
      <text>
        <r>
          <rPr>
            <b/>
            <sz val="9"/>
            <color indexed="81"/>
            <rFont val="Tahoma"/>
            <family val="2"/>
          </rPr>
          <t>Leandro:</t>
        </r>
        <r>
          <rPr>
            <sz val="9"/>
            <color indexed="81"/>
            <rFont val="Tahoma"/>
            <family val="2"/>
          </rPr>
          <t xml:space="preserve">
Yield 6 years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tc={D807A8E3-8F03-4761-B058-A14D9FD60F12}</author>
    <author>tc={5DAED7F7-E49B-439E-B4AE-EC671E6DB075}</author>
    <author>tc={59A5BFA8-B44E-446C-87F9-454F8D72697F}</author>
    <author>tc={EC78BB52-D2F9-4669-81A0-82707E850520}</author>
  </authors>
  <commentList>
    <comment ref="N6" authorId="0" shapeId="0" xr:uid="{D807A8E3-8F03-4761-B058-A14D9FD60F12}">
      <text>
        <t>[Threaded comment]
Your version of Excel allows you to read this threaded comment; however, any edits to it will get removed if the file is opened in a newer version of Excel. Learn more: https://go.microsoft.com/fwlink/?linkid=870924
Comment:
    Using 9.4x ev/ebitda</t>
      </text>
    </comment>
    <comment ref="P6" authorId="1" shapeId="0" xr:uid="{5DAED7F7-E49B-439E-B4AE-EC671E6DB075}">
      <text>
        <t>[Threaded comment]
Your version of Excel allows you to read this threaded comment; however, any edits to it will get removed if the file is opened in a newer version of Excel. Learn more: https://go.microsoft.com/fwlink/?linkid=870924
Comment:
    Using 26.8x ev/ebitda</t>
      </text>
    </comment>
    <comment ref="R6" authorId="2" shapeId="0" xr:uid="{59A5BFA8-B44E-446C-87F9-454F8D72697F}">
      <text>
        <t>[Threaded comment]
Your version of Excel allows you to read this threaded comment; however, any edits to it will get removed if the file is opened in a newer version of Excel. Learn more: https://go.microsoft.com/fwlink/?linkid=870924
Comment:
    G=2%</t>
      </text>
    </comment>
    <comment ref="T6" authorId="3" shapeId="0" xr:uid="{EC78BB52-D2F9-4669-81A0-82707E850520}">
      <text>
        <t>[Threaded comment]
Your version of Excel allows you to read this threaded comment; however, any edits to it will get removed if the file is opened in a newer version of Excel. Learn more: https://go.microsoft.com/fwlink/?linkid=870924
Comment:
    G=4%</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tc={5482523D-3C50-4C9B-9629-B9A0618EF6A4}</author>
  </authors>
  <commentList>
    <comment ref="L6" authorId="0" shapeId="0" xr:uid="{5482523D-3C50-4C9B-9629-B9A0618EF6A4}">
      <text>
        <t>[Threaded comment]
Your version of Excel allows you to read this threaded comment; however, any edits to it will get removed if the file is opened in a newer version of Excel. Learn more: https://go.microsoft.com/fwlink/?linkid=870924
Comment:
    Using current market cap, but 2024 net debt and cash</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tc={7C9EB74E-8CEE-4470-9900-D8F229611CD7}</author>
    <author>tc={4D1FEAE1-CB86-4AAB-84DA-F45E60EB3885}</author>
    <author>tc={8C675D62-342E-4D3E-9097-A586D607F36E}</author>
  </authors>
  <commentList>
    <comment ref="D54" authorId="0" shapeId="0" xr:uid="{7C9EB74E-8CEE-4470-9900-D8F229611CD7}">
      <text>
        <t>[Threaded comment]
Your version of Excel allows you to read this threaded comment; however, any edits to it will get removed if the file is opened in a newer version of Excel. Learn more: https://go.microsoft.com/fwlink/?linkid=870924
Comment:
    shared price as of 05-04-2025</t>
      </text>
    </comment>
    <comment ref="D55" authorId="1" shapeId="0" xr:uid="{4D1FEAE1-CB86-4AAB-84DA-F45E60EB3885}">
      <text>
        <t>[Threaded comment]
Your version of Excel allows you to read this threaded comment; however, any edits to it will get removed if the file is opened in a newer version of Excel. Learn more: https://go.microsoft.com/fwlink/?linkid=870924
Comment:
    From 10Q 2025</t>
      </text>
    </comment>
    <comment ref="D57" authorId="2" shapeId="0" xr:uid="{8C675D62-342E-4D3E-9097-A586D607F36E}">
      <text>
        <t>[Threaded comment]
Your version of Excel allows you to read this threaded comment; however, any edits to it will get removed if the file is opened in a newer version of Excel. Learn more: https://go.microsoft.com/fwlink/?linkid=870924
Comment:
    Page 9</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tc={DF6160CC-2786-4D8A-B946-27FB9158B0E5}</author>
    <author>tc={D6BA0723-C516-425D-93B4-F5B703DE28F1}</author>
    <author>tc={2921A2C2-444C-41F3-B97E-36EE8413F77B}</author>
    <author>tc={8E6FC280-320D-4EC3-B69C-826662A21F7C}</author>
  </authors>
  <commentList>
    <comment ref="E6" authorId="0" shapeId="0" xr:uid="{DF6160CC-2786-4D8A-B946-27FB9158B0E5}">
      <text>
        <t>[Threaded comment]
Your version of Excel allows you to read this threaded comment; however, any edits to it will get removed if the file is opened in a newer version of Excel. Learn more: https://go.microsoft.com/fwlink/?linkid=870924
Comment:
    yahoo finance</t>
      </text>
    </comment>
    <comment ref="E15" authorId="1" shapeId="0" xr:uid="{D6BA0723-C516-425D-93B4-F5B703DE28F1}">
      <text>
        <t>[Threaded comment]
Your version of Excel allows you to read this threaded comment; however, any edits to it will get removed if the file is opened in a newer version of Excel. Learn more: https://go.microsoft.com/fwlink/?linkid=870924
Comment:
    Similar to the 10Q of 2005</t>
      </text>
    </comment>
    <comment ref="E45" authorId="2" shapeId="0" xr:uid="{2921A2C2-444C-41F3-B97E-36EE8413F77B}">
      <text>
        <t>[Threaded comment]
Your version of Excel allows you to read this threaded comment; however, any edits to it will get removed if the file is opened in a newer version of Excel. Learn more: https://go.microsoft.com/fwlink/?linkid=870924
Comment:
    10Q</t>
      </text>
    </comment>
    <comment ref="D51" authorId="3" shapeId="0" xr:uid="{8E6FC280-320D-4EC3-B69C-826662A21F7C}">
      <text>
        <t>[Threaded comment]
Your version of Excel allows you to read this threaded comment; however, any edits to it will get removed if the file is opened in a newer version of Excel. Learn more: https://go.microsoft.com/fwlink/?linkid=870924
Comment:
    10Q 2025</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tc={F2ECE578-0548-4DC9-B81C-8FF29ABDEEB0}</author>
  </authors>
  <commentList>
    <comment ref="D55" authorId="0" shapeId="0" xr:uid="{F2ECE578-0548-4DC9-B81C-8FF29ABDEEB0}">
      <text>
        <t>[Threaded comment]
Your version of Excel allows you to read this threaded comment; however, any edits to it will get removed if the file is opened in a newer version of Excel. Learn more: https://go.microsoft.com/fwlink/?linkid=870924
Comment:
    Then didn't announce their 6-k. so I find in Yahoo finance</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tc={30E7E5C8-72FC-422E-92FA-83B0494FBCAB}</author>
  </authors>
  <commentList>
    <comment ref="E48" authorId="0" shapeId="0" xr:uid="{30E7E5C8-72FC-422E-92FA-83B0494FBCAB}">
      <text>
        <t>[Threaded comment]
Your version of Excel allows you to read this threaded comment; however, any edits to it will get removed if the file is opened in a newer version of Excel. Learn more: https://go.microsoft.com/fwlink/?linkid=870924
Comment:
    yahoo</t>
      </text>
    </comment>
  </commentList>
</comments>
</file>

<file path=xl/sharedStrings.xml><?xml version="1.0" encoding="utf-8"?>
<sst xmlns="http://schemas.openxmlformats.org/spreadsheetml/2006/main" count="1368" uniqueCount="382">
  <si>
    <t>Consolidated Balance Sheets</t>
  </si>
  <si>
    <t>(in US$ millions except per share amounts)</t>
  </si>
  <si>
    <t>Estimates</t>
  </si>
  <si>
    <t>On December 31</t>
  </si>
  <si>
    <t>2022A</t>
  </si>
  <si>
    <t>2023A</t>
  </si>
  <si>
    <t>2024A</t>
  </si>
  <si>
    <t>2025E</t>
  </si>
  <si>
    <t>2026E</t>
  </si>
  <si>
    <t>2027E</t>
  </si>
  <si>
    <t>2028E</t>
  </si>
  <si>
    <t>2029E</t>
  </si>
  <si>
    <t>Assets</t>
  </si>
  <si>
    <t>Current assets:</t>
  </si>
  <si>
    <t>Cash and cash equivalents</t>
  </si>
  <si>
    <t>Marketable securities</t>
  </si>
  <si>
    <t>Inventories</t>
  </si>
  <si>
    <t>Trade accounts receivable, less allowances of $502 and $516, respectively</t>
  </si>
  <si>
    <t>Short-term investments+Marketable securities</t>
  </si>
  <si>
    <t>Short-term investments</t>
  </si>
  <si>
    <t>Prepaid expenses and other current assets</t>
  </si>
  <si>
    <t>Total current assets</t>
  </si>
  <si>
    <t>Property, plant and equipment, net</t>
  </si>
  <si>
    <t>Trademarks with indefinite lives</t>
  </si>
  <si>
    <t>Goodwill</t>
  </si>
  <si>
    <t>Equity method investments</t>
  </si>
  <si>
    <t>Deferred income tax assets</t>
  </si>
  <si>
    <t>Other noncurrent assets</t>
  </si>
  <si>
    <t>Total assets</t>
  </si>
  <si>
    <t>Liabilities</t>
  </si>
  <si>
    <t>Current liabilities:</t>
  </si>
  <si>
    <t>Accounts payable and accrued expenses</t>
  </si>
  <si>
    <t>Loans and notes payable</t>
  </si>
  <si>
    <t>Current maturities of long-term debt</t>
  </si>
  <si>
    <t>Loans and notes payable + Current maturities of long-term debt</t>
  </si>
  <si>
    <t>Accrued income taxes</t>
  </si>
  <si>
    <t>Total current liabilities</t>
  </si>
  <si>
    <t>Long-term debt</t>
  </si>
  <si>
    <t>Other noncurrent liabilities</t>
  </si>
  <si>
    <t>Deferred income tax liabilities</t>
  </si>
  <si>
    <t>Total liabilities</t>
  </si>
  <si>
    <t xml:space="preserve">Stockholders' equity </t>
  </si>
  <si>
    <t>Common stock par value + additional paid-in-capital</t>
  </si>
  <si>
    <t>Treasury stock</t>
  </si>
  <si>
    <t>Accumulated other comprehensive income (loss)</t>
  </si>
  <si>
    <t>Equity attributable to noncontrolling interests</t>
  </si>
  <si>
    <t>Reinvested earnings</t>
  </si>
  <si>
    <t>Total stockholder equity</t>
  </si>
  <si>
    <t>Total liabilities &amp; stockholders' equity</t>
  </si>
  <si>
    <t>SUPPLEMENTAL DATA:</t>
  </si>
  <si>
    <t>Balance? (Y/N)</t>
  </si>
  <si>
    <t>Consolidated Income Statements</t>
  </si>
  <si>
    <t>Actuals</t>
  </si>
  <si>
    <t>Period Ending December 31</t>
  </si>
  <si>
    <t>Cash flows from operating activities</t>
  </si>
  <si>
    <t>Consolidated net income</t>
  </si>
  <si>
    <t>Depreciation and amortization</t>
  </si>
  <si>
    <t>Stock-based compensation</t>
  </si>
  <si>
    <t>Deferred income taxes</t>
  </si>
  <si>
    <t>Equity (income) loss — net of dividends</t>
  </si>
  <si>
    <t>Foreign currency adjustments</t>
  </si>
  <si>
    <t>Significant (gains) losses — net</t>
  </si>
  <si>
    <t>Other operating charges</t>
  </si>
  <si>
    <t>Other items</t>
  </si>
  <si>
    <t>Other Non-Cash Adjustments</t>
  </si>
  <si>
    <t>Changes in operating assets and liabilities</t>
  </si>
  <si>
    <t>(Increase) decrease in trade accounts receivable</t>
  </si>
  <si>
    <t>(Increase) decrease in inventories1</t>
  </si>
  <si>
    <t>(Increase) decrease in prepaid expenses and other current assets and other noncurrent assets2</t>
  </si>
  <si>
    <t>Increase (decrease) in accounts payable and accrued expenses</t>
  </si>
  <si>
    <t>Increase (decrease) in accrued income taxes</t>
  </si>
  <si>
    <t>Increase (decrease) in other noncurrent liabilities</t>
  </si>
  <si>
    <t>Net changes in operating assets and liabilities</t>
  </si>
  <si>
    <t>Net Cash Provided by Operating Activities</t>
  </si>
  <si>
    <t>Cash flows from investing activities</t>
  </si>
  <si>
    <t>Purchase of investments</t>
  </si>
  <si>
    <t>Proceeds from disposal  of imvestments</t>
  </si>
  <si>
    <t>Acquisitions of businesses, equity method investments and nonmarketable securities</t>
  </si>
  <si>
    <t>Proceeds from disposals of businesses, equity method investments and nonmarketable securities</t>
  </si>
  <si>
    <t>Purchases of property, plant and equipment</t>
  </si>
  <si>
    <t>% of Revenue</t>
  </si>
  <si>
    <t>Collateral (paid) received associated with hedging activities — net</t>
  </si>
  <si>
    <t>Other investing activities</t>
  </si>
  <si>
    <t>Total cash from investing activities</t>
  </si>
  <si>
    <t>Cash flows from financing activities</t>
  </si>
  <si>
    <t>Issuances of loans, notes payable and long-term debt</t>
  </si>
  <si>
    <t>Payments of loans, notes payable and long-term debt</t>
  </si>
  <si>
    <t>Issuances (Payments) of loans, notes payable and long-term debt</t>
  </si>
  <si>
    <t>Issuances of stock</t>
  </si>
  <si>
    <t>Purchases of stock for treasury</t>
  </si>
  <si>
    <t>Dividends</t>
  </si>
  <si>
    <t>%net income</t>
  </si>
  <si>
    <t>Other financing activities</t>
  </si>
  <si>
    <t>Total cash from financing activities</t>
  </si>
  <si>
    <t>Effect of Exchange Rate Changes on Cash, Cash Equivalents,</t>
  </si>
  <si>
    <t>Total change in cash and cash equivalents</t>
  </si>
  <si>
    <t>Cash, cash equivalents, restricted cash and restricted cash equivalents at beginning of year</t>
  </si>
  <si>
    <t>Cash, cash equivalents, restricted cash and restricted cash equivalents at end of year</t>
  </si>
  <si>
    <t>Less: Restricted cash and restricted cash equivalents at end of year</t>
  </si>
  <si>
    <t>Cash and Cash Equivalents at End of Year</t>
  </si>
  <si>
    <t>Cash flow before debt paydown</t>
  </si>
  <si>
    <t>Year</t>
  </si>
  <si>
    <t>Working Capital</t>
  </si>
  <si>
    <t>CAPEX</t>
  </si>
  <si>
    <t>Consolidated Income Statement</t>
  </si>
  <si>
    <t>(in US$ millions expect per share amounts)</t>
  </si>
  <si>
    <t>Revenue</t>
  </si>
  <si>
    <t>Net Operating Revenue</t>
  </si>
  <si>
    <t>Y/Y growth (%)</t>
  </si>
  <si>
    <t>Costs of goods sold</t>
  </si>
  <si>
    <t> </t>
  </si>
  <si>
    <t xml:space="preserve">Cost of goods sold </t>
  </si>
  <si>
    <t>COGS as a % of net sales</t>
  </si>
  <si>
    <t>Gross Profit</t>
  </si>
  <si>
    <t>Gross Profit Margin %</t>
  </si>
  <si>
    <t xml:space="preserve">Operating expenses </t>
  </si>
  <si>
    <t xml:space="preserve">Selling, general and administrative expenses </t>
  </si>
  <si>
    <t>SGA as a % of net sales</t>
  </si>
  <si>
    <t xml:space="preserve">Other operating charges </t>
  </si>
  <si>
    <t>Other operating charges as a % of net sales</t>
  </si>
  <si>
    <t xml:space="preserve">Total operating expense </t>
  </si>
  <si>
    <t>EBITDA</t>
  </si>
  <si>
    <t>EBITDA margin %</t>
  </si>
  <si>
    <t>EBIT</t>
  </si>
  <si>
    <t>EBIT margin (%)</t>
  </si>
  <si>
    <t>Equity (Income)</t>
  </si>
  <si>
    <t>Other (Income )</t>
  </si>
  <si>
    <t>Interest</t>
  </si>
  <si>
    <t>Interest expense</t>
  </si>
  <si>
    <t>Interest (income)</t>
  </si>
  <si>
    <t>Net Interest expense</t>
  </si>
  <si>
    <t>Earning before tax (EBT)</t>
  </si>
  <si>
    <t>EBT margin (%)</t>
  </si>
  <si>
    <t xml:space="preserve">Income tax expense </t>
  </si>
  <si>
    <t>All-in effective tax rate (%)</t>
  </si>
  <si>
    <t xml:space="preserve">Consolidated Net Income </t>
  </si>
  <si>
    <t>Net Income (Loss) Attributable to Noncontrolling Interest</t>
  </si>
  <si>
    <t>Non-recurring events</t>
  </si>
  <si>
    <t>Discontinued operations</t>
  </si>
  <si>
    <t>Extraordinary items</t>
  </si>
  <si>
    <t>Effect of accounting changes</t>
  </si>
  <si>
    <t>Equity-method investment activity, net of tax</t>
  </si>
  <si>
    <t>Total non-recurring events</t>
  </si>
  <si>
    <t>Net income (after non-recurring events)</t>
  </si>
  <si>
    <t>Dividends paid on common stock</t>
  </si>
  <si>
    <t>Dividends paid on common stock (per share)</t>
  </si>
  <si>
    <t>Net Income as reported</t>
  </si>
  <si>
    <t>Earnings per share (EPS)</t>
  </si>
  <si>
    <t xml:space="preserve">Basic </t>
  </si>
  <si>
    <t xml:space="preserve">Diluted </t>
  </si>
  <si>
    <t>Effect of dilutive securities</t>
  </si>
  <si>
    <t>Average Shares Outstanding</t>
  </si>
  <si>
    <t>CAGR</t>
  </si>
  <si>
    <t>COGS</t>
  </si>
  <si>
    <t>Operating expenses</t>
  </si>
  <si>
    <t>Ebit</t>
  </si>
  <si>
    <t>Net income</t>
  </si>
  <si>
    <t xml:space="preserve">EPS  </t>
  </si>
  <si>
    <t>Operating Working Capital Schedule (OWC)</t>
  </si>
  <si>
    <t>Current assets</t>
  </si>
  <si>
    <t>Inventory turnover days</t>
  </si>
  <si>
    <t>Trade accounts receivable</t>
  </si>
  <si>
    <t>Days receivable</t>
  </si>
  <si>
    <t>Days prepaid</t>
  </si>
  <si>
    <t>Current liabilities</t>
  </si>
  <si>
    <t>Days payable</t>
  </si>
  <si>
    <t>Total operating working capital</t>
  </si>
  <si>
    <t>Change in total operating working capital</t>
  </si>
  <si>
    <t>Match? (Y/N)</t>
  </si>
  <si>
    <t>Depreciation</t>
  </si>
  <si>
    <t>Capital expenditures as of Jan 1 of each year</t>
  </si>
  <si>
    <t>Straight line depreciation</t>
  </si>
  <si>
    <t>Years</t>
  </si>
  <si>
    <t>Existing PP&amp;E</t>
  </si>
  <si>
    <t>Depreciation ($)</t>
  </si>
  <si>
    <t>Total book depreciation</t>
  </si>
  <si>
    <t>Debt Schedule</t>
  </si>
  <si>
    <t>Cash available to pay down debt</t>
  </si>
  <si>
    <t>Cash at beginning of year</t>
  </si>
  <si>
    <t>Minimum cash cushion</t>
  </si>
  <si>
    <t>Total cash available to pay down debt</t>
  </si>
  <si>
    <t>Short term debt / revolver</t>
  </si>
  <si>
    <t>Short term debt (beginning of year)</t>
  </si>
  <si>
    <t xml:space="preserve">Mandatory issuances / (retirements) </t>
  </si>
  <si>
    <t>Non-mandatory issuances / (retirements)</t>
  </si>
  <si>
    <t>Short term debt (end of year)</t>
  </si>
  <si>
    <t>Short term interest expense</t>
  </si>
  <si>
    <t>Short term interest rate</t>
  </si>
  <si>
    <t>Long term debt</t>
  </si>
  <si>
    <t>Long term debt (beginning of year)</t>
  </si>
  <si>
    <t>Long term debt (end of year)</t>
  </si>
  <si>
    <t>Long term interest expense</t>
  </si>
  <si>
    <t>Long term interest rate</t>
  </si>
  <si>
    <t>Long term lease liabilities</t>
  </si>
  <si>
    <t>Long term lease liabilities (beginning of year)</t>
  </si>
  <si>
    <t>Long term lease liabilities (end of year)</t>
  </si>
  <si>
    <t>Long term lease liabilities interest expense</t>
  </si>
  <si>
    <t>Long term lease liabilities interest rate</t>
  </si>
  <si>
    <t>Long term financing obligations</t>
  </si>
  <si>
    <t>Long term financing obligations (beginning of year)</t>
  </si>
  <si>
    <t>Long term financing obligations (end of year)</t>
  </si>
  <si>
    <t>Long term financing obligations interest expense</t>
  </si>
  <si>
    <t>Long term financing obligations interest rate</t>
  </si>
  <si>
    <t>Total issuances / (retirements)</t>
  </si>
  <si>
    <t>Total interest expense</t>
  </si>
  <si>
    <t>Cash at the end of the year</t>
  </si>
  <si>
    <t>Interest income</t>
  </si>
  <si>
    <t>Interest rate</t>
  </si>
  <si>
    <t>Y</t>
  </si>
  <si>
    <t>Discounted Cash Flow Analysis</t>
  </si>
  <si>
    <t>Period Ending January 31</t>
  </si>
  <si>
    <t>Unlevered Free Cash Flow</t>
  </si>
  <si>
    <t>Depreciation &amp; Amortization</t>
  </si>
  <si>
    <t>Deferred Taxes</t>
  </si>
  <si>
    <t>Other</t>
  </si>
  <si>
    <t>Changes in Working Capital</t>
  </si>
  <si>
    <t>Capital Expenditures</t>
  </si>
  <si>
    <t>Taxes</t>
  </si>
  <si>
    <t>Total Unlevered Free Cash Flow</t>
  </si>
  <si>
    <t>Net Present Value Calulation</t>
  </si>
  <si>
    <t>Period</t>
  </si>
  <si>
    <t>Discounted Cash Flow</t>
  </si>
  <si>
    <t>Total Net Present Value</t>
  </si>
  <si>
    <t>Terminal Value</t>
  </si>
  <si>
    <t>EBITDA Method</t>
  </si>
  <si>
    <t>Cost of Capital</t>
  </si>
  <si>
    <t>Exit Year EBITDA</t>
  </si>
  <si>
    <t xml:space="preserve">Risk Free Rate </t>
  </si>
  <si>
    <t>Multiple</t>
  </si>
  <si>
    <t xml:space="preserve">Market Risk Premium </t>
  </si>
  <si>
    <t xml:space="preserve">Stock Price </t>
  </si>
  <si>
    <t xml:space="preserve">Beta </t>
  </si>
  <si>
    <t>Shares Outstanding</t>
  </si>
  <si>
    <t>Net Present Value</t>
  </si>
  <si>
    <t xml:space="preserve">Cost of Equity </t>
  </si>
  <si>
    <t>Equity Value</t>
  </si>
  <si>
    <t>Perpetuity Method</t>
  </si>
  <si>
    <t xml:space="preserve">Cost of Debt </t>
  </si>
  <si>
    <t>Growth Rate</t>
  </si>
  <si>
    <t>WACC</t>
  </si>
  <si>
    <t xml:space="preserve">Discounted Cash Flow Total Valuation </t>
  </si>
  <si>
    <t xml:space="preserve">EBITDA Method </t>
  </si>
  <si>
    <t>Total of Present Value of Cash Flows</t>
  </si>
  <si>
    <t>g</t>
  </si>
  <si>
    <t>Present Value of Terminal Value</t>
  </si>
  <si>
    <t>Total Enterprise Value</t>
  </si>
  <si>
    <t>Net Debt, Non-controlling interests, preferred securities</t>
  </si>
  <si>
    <t>Share Count (millions)</t>
  </si>
  <si>
    <t>Estimated Equity Value per Share</t>
  </si>
  <si>
    <t>EV/EBITDA</t>
  </si>
  <si>
    <t>Comparable Companies Analysis</t>
  </si>
  <si>
    <t>(in US$ millions)</t>
  </si>
  <si>
    <t>Current Stock Price$</t>
  </si>
  <si>
    <t>Market Capitalization (Value)$</t>
  </si>
  <si>
    <t>Enterprise</t>
  </si>
  <si>
    <t>Price / Earnings</t>
  </si>
  <si>
    <t>E.V. / Revenue</t>
  </si>
  <si>
    <t>E.V. / EBIT</t>
  </si>
  <si>
    <t>E.V. / EBITDA</t>
  </si>
  <si>
    <t>Value</t>
  </si>
  <si>
    <t>24A</t>
  </si>
  <si>
    <t>25E</t>
  </si>
  <si>
    <t>Company</t>
  </si>
  <si>
    <t>$MM</t>
  </si>
  <si>
    <t>x</t>
  </si>
  <si>
    <t>Coca-Cola</t>
  </si>
  <si>
    <t>Group 1: Non-Alcoholic Beverage Competitors</t>
  </si>
  <si>
    <t>PepsiCo, Inc.</t>
  </si>
  <si>
    <t>Nestle</t>
  </si>
  <si>
    <t>keurig dr pepper</t>
  </si>
  <si>
    <t>Monster</t>
  </si>
  <si>
    <t>Group 2: Alcoholic Beverage Competitors</t>
  </si>
  <si>
    <t>Anheuser-Busch InBev</t>
  </si>
  <si>
    <t>Kirin Holdings</t>
  </si>
  <si>
    <t>The Boston Beer</t>
  </si>
  <si>
    <t>Diageo plc</t>
  </si>
  <si>
    <t>Median</t>
  </si>
  <si>
    <t>High</t>
  </si>
  <si>
    <t>Low</t>
  </si>
  <si>
    <t>Operating Statistics</t>
  </si>
  <si>
    <t>Sales</t>
  </si>
  <si>
    <t>EPS</t>
  </si>
  <si>
    <t>$/share</t>
  </si>
  <si>
    <t>52-week</t>
  </si>
  <si>
    <t>Comparable</t>
  </si>
  <si>
    <t xml:space="preserve">Discounted </t>
  </si>
  <si>
    <t>high / low</t>
  </si>
  <si>
    <t>company analysis</t>
  </si>
  <si>
    <t>cash flow analysis</t>
  </si>
  <si>
    <t>Group 1: Non-Alcoholic Beverage</t>
  </si>
  <si>
    <t xml:space="preserve">Group 2: Alcoholic Beverage </t>
  </si>
  <si>
    <t>—</t>
  </si>
  <si>
    <t>Share price</t>
  </si>
  <si>
    <t>Shares outstanding</t>
  </si>
  <si>
    <t>Equity value</t>
  </si>
  <si>
    <t>Net debt &amp; other</t>
  </si>
  <si>
    <t>Enterprise value</t>
  </si>
  <si>
    <t>LTM EBITDA</t>
  </si>
  <si>
    <t>Table Data</t>
  </si>
  <si>
    <t>Variance</t>
  </si>
  <si>
    <t>DCF Perpetuity</t>
  </si>
  <si>
    <t>DCF EBITDA</t>
  </si>
  <si>
    <t>Comps Group 2</t>
  </si>
  <si>
    <t>Comps Group 1</t>
  </si>
  <si>
    <t>52-Week High / Low</t>
  </si>
  <si>
    <t>Coca-Cola Income Statement</t>
  </si>
  <si>
    <t>in millions</t>
  </si>
  <si>
    <t>Y/Y revenue growth (%)</t>
  </si>
  <si>
    <t>Cost of goods sold</t>
  </si>
  <si>
    <t>COGS as a % of revenue</t>
  </si>
  <si>
    <t>Gross profit</t>
  </si>
  <si>
    <t>Gross profit margin (%)</t>
  </si>
  <si>
    <t>OpEx as a % of revenue</t>
  </si>
  <si>
    <t>EBITDA margin (%)</t>
  </si>
  <si>
    <t>D&amp;A % of Revenue</t>
  </si>
  <si>
    <t>Equity (income)</t>
  </si>
  <si>
    <t>Other (income)</t>
  </si>
  <si>
    <t>Net interest expense</t>
  </si>
  <si>
    <t>Earnings before tax (EBT)</t>
  </si>
  <si>
    <t>IBT margin (%)</t>
  </si>
  <si>
    <t>Income tax expense</t>
  </si>
  <si>
    <t>Effective tax rate (%)</t>
  </si>
  <si>
    <t>Enterprise Value</t>
  </si>
  <si>
    <t>Share Price</t>
  </si>
  <si>
    <t>Number diluted shares outstanding</t>
  </si>
  <si>
    <t>million</t>
  </si>
  <si>
    <t>Market value</t>
  </si>
  <si>
    <t>Short-term debt</t>
  </si>
  <si>
    <t>Long-term debt (includes current portions)</t>
  </si>
  <si>
    <t>Capital lease obligations</t>
  </si>
  <si>
    <t>Convertible debt</t>
  </si>
  <si>
    <t>Preferred securities</t>
  </si>
  <si>
    <t>Noncontrolling interest</t>
  </si>
  <si>
    <t xml:space="preserve">  Less: Cash &amp; equivalents</t>
  </si>
  <si>
    <t>Pepsi Income Statement</t>
  </si>
  <si>
    <t>Other income</t>
  </si>
  <si>
    <t>Net income from continuing operations</t>
  </si>
  <si>
    <t>Income attributable to equity method investments</t>
  </si>
  <si>
    <t>Income from discontinued operations, net of taxes</t>
  </si>
  <si>
    <t>Gains on investments and sale of business</t>
  </si>
  <si>
    <t>Net income (as reported)</t>
  </si>
  <si>
    <t>Earnings per share (As reported)</t>
  </si>
  <si>
    <t>Basic</t>
  </si>
  <si>
    <t>Diluted</t>
  </si>
  <si>
    <t xml:space="preserve">Average common shares outstanding </t>
  </si>
  <si>
    <t>Nestle Income Statement</t>
  </si>
  <si>
    <t>in millions of CHF</t>
  </si>
  <si>
    <t>Loss on extinguishment of debt</t>
  </si>
  <si>
    <t>Foreign exchange loss (gain)</t>
  </si>
  <si>
    <t>keurig dr pepper Income Statement</t>
  </si>
  <si>
    <t>(in millions$, except per share data)</t>
  </si>
  <si>
    <t>Earnings per share (adjusted)</t>
  </si>
  <si>
    <t>Monster income statement</t>
  </si>
  <si>
    <t xml:space="preserve"> millions</t>
  </si>
  <si>
    <t>The Boston Beer Income Statement</t>
  </si>
  <si>
    <t>In millions</t>
  </si>
  <si>
    <t>Other income,net:</t>
  </si>
  <si>
    <t>Interest income,net</t>
  </si>
  <si>
    <t>Other expense, net</t>
  </si>
  <si>
    <t>Total other inome</t>
  </si>
  <si>
    <t>Kirin Holdings income statement</t>
  </si>
  <si>
    <t>¥ millions</t>
  </si>
  <si>
    <t>US Dollars</t>
  </si>
  <si>
    <t>Debt YE 2024</t>
  </si>
  <si>
    <t>Net Income</t>
  </si>
  <si>
    <t>Purpose:</t>
  </si>
  <si>
    <t>Coca Cola Valuation</t>
  </si>
  <si>
    <t>Value The Coca-Cola Company using a fully integrated 3-statement model and multiple valuation methods to assess financial performance and investment potential.</t>
  </si>
  <si>
    <t>Company Overview:</t>
  </si>
  <si>
    <t>Coca-Cola (NYSE: KO) is a global beverage leader with 500+ brands across soft drinks, water, tea, coffee, and sports drinks.</t>
  </si>
  <si>
    <t>Key Assumptions</t>
  </si>
  <si>
    <t>Prepared by James Rogers Ochwa Jr | August 2025</t>
  </si>
  <si>
    <t>Operational</t>
  </si>
  <si>
    <t>Revenue Growth (2024E–2029E): 2.86%, 2.25%, 5.26%, 5.00%, 4.50%, 4.00%</t>
  </si>
  <si>
    <t>COGS: ~39% of revenue in 2025E, improving to ~37.65% by 2027E+</t>
  </si>
  <si>
    <t>Gross Margin: ~60.85% in 2025E, rising to ~62.35% long term</t>
  </si>
  <si>
    <t>SG&amp;A: ~31.49% in 2025E, declining to ~29.99% by 2029E</t>
  </si>
  <si>
    <t>EBITDA Margin: ~25.10% in 2025E, improving to ~29.54% by 2029E</t>
  </si>
  <si>
    <t>Methodology</t>
  </si>
  <si>
    <t>3-Statement Integrated Model (IS, BS, CF)</t>
  </si>
  <si>
    <t>DCF, Comparable Company Analysis, Football Field Analysis</t>
  </si>
  <si>
    <t>Sensitivity Analysis on WACC &amp; Terminal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</si>
</sst>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5" formatCode="&quot;$&quot;#,##0_);\(&quot;$&quot;#,##0\)"/>
    <numFmt numFmtId="6" formatCode="&quot;$&quot;#,##0_);[Red]\(&quot;$&quot;#,##0\)"/>
    <numFmt numFmtId="7" formatCode="&quot;$&quot;#,##0.00_);\(&quot;$&quot;#,##0.00\)"/>
    <numFmt numFmtId="8" formatCode="&quot;$&quot;#,##0.00_);[Red]\(&quot;$&quot;#,##0.00\)"/>
    <numFmt numFmtId="164" formatCode="#,##0.0_);[Red]\(#,##0.0\)"/>
    <numFmt numFmtId="165" formatCode="General\A"/>
    <numFmt numFmtId="166" formatCode="General\E"/>
    <numFmt numFmtId="167" formatCode="#,##0.0_);\(#,##0.0\)"/>
    <numFmt numFmtId="168" formatCode="#,##0.0"/>
    <numFmt numFmtId="169" formatCode="0.0"/>
    <numFmt numFmtId="170" formatCode="#,##0.0;[Red]#,##0.0"/>
    <numFmt numFmtId="171" formatCode="#,##0.0000_);[Red]\(#,##0.0000\)"/>
    <numFmt numFmtId="172" formatCode="0.0%"/>
    <numFmt numFmtId="173" formatCode="[$-409]d\-mmm\-yy;@"/>
    <numFmt numFmtId="174" formatCode="#,##0.00000000000"/>
    <numFmt numFmtId="175" formatCode="#,##0.000000000000"/>
    <numFmt numFmtId="176" formatCode="0.0\x"/>
    <numFmt numFmtId="177" formatCode="#,##0.00_);\(#,##0.00\);#,##0.00_);@_)"/>
    <numFmt numFmtId="178" formatCode="_-[$$-409]* #,##0.00_ ;_-[$$-409]* \-#,##0.00\ ;_-[$$-409]* &quot;-&quot;??_ ;_-@_ "/>
    <numFmt numFmtId="179" formatCode="0.000"/>
    <numFmt numFmtId="180" formatCode="#,##0.000"/>
  </numFmts>
  <fonts count="58">
    <font>
      <sz val="11"/>
      <color theme="1"/>
      <name val="Calibri"/>
      <charset val="134"/>
      <scheme val="minor"/>
    </font>
    <font>
      <sz val="12"/>
      <color theme="1"/>
      <name val="Calibri"/>
      <family val="2"/>
      <scheme val="minor"/>
    </font>
    <font>
      <sz val="11"/>
      <color theme="1"/>
      <name val="Calibri"/>
      <family val="2"/>
      <scheme val="minor"/>
    </font>
    <font>
      <sz val="9"/>
      <name val="Arial"/>
      <family val="2"/>
    </font>
    <font>
      <b/>
      <sz val="9"/>
      <name val="Arial"/>
      <family val="2"/>
    </font>
    <font>
      <sz val="9"/>
      <color indexed="12"/>
      <name val="Arial"/>
      <family val="2"/>
    </font>
    <font>
      <i/>
      <sz val="9"/>
      <name val="Arial"/>
      <family val="2"/>
    </font>
    <font>
      <sz val="10"/>
      <name val="Arial"/>
      <family val="2"/>
    </font>
    <font>
      <b/>
      <sz val="9"/>
      <color indexed="12"/>
      <name val="Arial"/>
      <family val="2"/>
    </font>
    <font>
      <i/>
      <sz val="9"/>
      <color indexed="12"/>
      <name val="Arial"/>
      <family val="2"/>
    </font>
    <font>
      <sz val="9"/>
      <color rgb="FF0000FF"/>
      <name val="Arial"/>
      <family val="2"/>
    </font>
    <font>
      <sz val="8"/>
      <name val="Arial"/>
      <family val="2"/>
    </font>
    <font>
      <sz val="9"/>
      <color rgb="FF000000"/>
      <name val="Arial"/>
      <family val="2"/>
    </font>
    <font>
      <sz val="11"/>
      <color theme="1"/>
      <name val="Calibri"/>
      <family val="2"/>
      <scheme val="minor"/>
    </font>
    <font>
      <sz val="9"/>
      <color theme="1"/>
      <name val="Arial"/>
      <family val="2"/>
    </font>
    <font>
      <b/>
      <sz val="9"/>
      <color theme="1"/>
      <name val="Arial"/>
      <family val="2"/>
    </font>
    <font>
      <b/>
      <sz val="9"/>
      <color rgb="FF0000FF"/>
      <name val="Arial"/>
      <family val="2"/>
    </font>
    <font>
      <b/>
      <sz val="9"/>
      <color rgb="FF000000"/>
      <name val="Arial"/>
      <family val="2"/>
    </font>
    <font>
      <b/>
      <sz val="9"/>
      <color indexed="10"/>
      <name val="Arial"/>
      <family val="2"/>
    </font>
    <font>
      <b/>
      <sz val="9"/>
      <color rgb="FF000000"/>
      <name val="Tahoma"/>
      <family val="2"/>
    </font>
    <font>
      <sz val="9"/>
      <color rgb="FF000000"/>
      <name val="Tahoma"/>
      <family val="2"/>
    </font>
    <font>
      <i/>
      <sz val="9"/>
      <color rgb="FF000000"/>
      <name val="Arial"/>
      <family val="2"/>
    </font>
    <font>
      <i/>
      <sz val="9"/>
      <color rgb="FF0000FF"/>
      <name val="Arial"/>
      <family val="2"/>
    </font>
    <font>
      <b/>
      <i/>
      <sz val="9"/>
      <color rgb="FF000000"/>
      <name val="Arial"/>
      <family val="2"/>
    </font>
    <font>
      <b/>
      <sz val="9"/>
      <color indexed="81"/>
      <name val="Tahoma"/>
      <family val="2"/>
    </font>
    <font>
      <sz val="9"/>
      <color rgb="FF0070C0"/>
      <name val="Arial"/>
      <family val="2"/>
    </font>
    <font>
      <sz val="9"/>
      <color indexed="81"/>
      <name val="Tahoma"/>
      <family val="2"/>
    </font>
    <font>
      <sz val="9"/>
      <color theme="0"/>
      <name val="Arial"/>
      <family val="2"/>
    </font>
    <font>
      <sz val="11"/>
      <color rgb="FF000000"/>
      <name val="宋体"/>
      <charset val="134"/>
    </font>
    <font>
      <sz val="10"/>
      <color rgb="FF000000"/>
      <name val="Arial"/>
      <family val="2"/>
    </font>
    <font>
      <sz val="9"/>
      <color rgb="FFFFFFFF"/>
      <name val="Arial"/>
      <family val="2"/>
    </font>
    <font>
      <b/>
      <sz val="9"/>
      <color rgb="FFFFFFFF"/>
      <name val="Arial"/>
      <family val="2"/>
    </font>
    <font>
      <b/>
      <sz val="9"/>
      <color rgb="FF0070C0"/>
      <name val="Arial"/>
      <family val="2"/>
    </font>
    <font>
      <i/>
      <sz val="9"/>
      <color rgb="FF0070C0"/>
      <name val="Arial"/>
      <family val="2"/>
    </font>
    <font>
      <sz val="9"/>
      <color rgb="FF4874CB"/>
      <name val="Arial"/>
      <family val="2"/>
    </font>
    <font>
      <sz val="9"/>
      <color rgb="FFFF0000"/>
      <name val="Arial"/>
      <family val="2"/>
    </font>
    <font>
      <sz val="10"/>
      <color rgb="FF0000FF"/>
      <name val="Arial"/>
      <family val="2"/>
    </font>
    <font>
      <b/>
      <sz val="10"/>
      <color rgb="FF000000"/>
      <name val="Arial"/>
      <family val="2"/>
    </font>
    <font>
      <i/>
      <sz val="9"/>
      <color rgb="FFFF0000"/>
      <name val="Arial"/>
      <family val="2"/>
    </font>
    <font>
      <b/>
      <sz val="9"/>
      <color rgb="FFFF0000"/>
      <name val="Arial"/>
      <family val="2"/>
    </font>
    <font>
      <sz val="11"/>
      <color rgb="FF000000"/>
      <name val="Calibri"/>
      <family val="2"/>
    </font>
    <font>
      <b/>
      <sz val="10"/>
      <name val="Arial"/>
      <family val="2"/>
    </font>
    <font>
      <b/>
      <sz val="9"/>
      <color rgb="FF0066CC"/>
      <name val="Arial"/>
      <family val="2"/>
    </font>
    <font>
      <i/>
      <sz val="9"/>
      <color rgb="FF0066CC"/>
      <name val="Arial"/>
      <family val="2"/>
    </font>
    <font>
      <sz val="9"/>
      <color rgb="FF666699"/>
      <name val="Arial"/>
      <family val="2"/>
    </font>
    <font>
      <sz val="9"/>
      <color rgb="FF0066CC"/>
      <name val="Arial"/>
      <family val="2"/>
    </font>
    <font>
      <sz val="10"/>
      <name val="Palatino Linotype"/>
      <family val="1"/>
    </font>
    <font>
      <b/>
      <sz val="10"/>
      <color indexed="9"/>
      <name val="Palatino Linotype"/>
      <family val="1"/>
    </font>
    <font>
      <sz val="10"/>
      <color indexed="9"/>
      <name val="Palatino Linotype"/>
      <family val="1"/>
    </font>
    <font>
      <b/>
      <sz val="10"/>
      <name val="Palatino Linotype"/>
      <family val="1"/>
    </font>
    <font>
      <b/>
      <sz val="10"/>
      <color rgb="FF0070C0"/>
      <name val="Palatino Linotype"/>
      <family val="1"/>
    </font>
    <font>
      <b/>
      <sz val="10"/>
      <color theme="4"/>
      <name val="Palatino Linotype"/>
      <family val="1"/>
    </font>
    <font>
      <u/>
      <sz val="11"/>
      <color theme="10"/>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2"/>
      <color rgb="FF000000"/>
      <name val="Calibri"/>
      <family val="2"/>
      <scheme val="minor"/>
    </font>
    <font>
      <i/>
      <sz val="12"/>
      <color theme="1"/>
      <name val="Calibri"/>
      <family val="2"/>
      <scheme val="minor"/>
    </font>
  </fonts>
  <fills count="22">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indexed="9"/>
        <bgColor indexed="64"/>
      </patternFill>
    </fill>
    <fill>
      <patternFill patternType="solid">
        <fgColor rgb="FFC0C0C0"/>
        <bgColor indexed="64"/>
      </patternFill>
    </fill>
    <fill>
      <patternFill patternType="solid">
        <fgColor rgb="FFFFFFFF"/>
        <bgColor indexed="64"/>
      </patternFill>
    </fill>
    <fill>
      <patternFill patternType="solid">
        <fgColor rgb="FFFFFF00"/>
        <bgColor indexed="64"/>
      </patternFill>
    </fill>
    <fill>
      <patternFill patternType="solid">
        <fgColor rgb="FFFFFFFF"/>
        <bgColor rgb="FF000000"/>
      </patternFill>
    </fill>
    <fill>
      <patternFill patternType="solid">
        <fgColor theme="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rgb="FFBFBFBF"/>
        <bgColor indexed="64"/>
      </patternFill>
    </fill>
    <fill>
      <patternFill patternType="solid">
        <fgColor rgb="FFFFFF99"/>
        <bgColor indexed="64"/>
      </patternFill>
    </fill>
    <fill>
      <patternFill patternType="solid">
        <fgColor rgb="FF002060"/>
        <bgColor indexed="64"/>
      </patternFill>
    </fill>
    <fill>
      <patternFill patternType="solid">
        <fgColor rgb="FFCCCCFF"/>
        <bgColor indexed="64"/>
      </patternFill>
    </fill>
    <fill>
      <patternFill patternType="solid">
        <fgColor rgb="FFD6DCE4"/>
        <bgColor indexed="64"/>
      </patternFill>
    </fill>
    <fill>
      <patternFill patternType="solid">
        <fgColor rgb="FFC0C0C0"/>
        <bgColor rgb="FF000000"/>
      </patternFill>
    </fill>
    <fill>
      <patternFill patternType="solid">
        <fgColor rgb="FFD6DCE4"/>
        <bgColor rgb="FF000000"/>
      </patternFill>
    </fill>
    <fill>
      <patternFill patternType="solid">
        <fgColor theme="4" tint="-0.249977111117893"/>
        <bgColor indexed="64"/>
      </patternFill>
    </fill>
    <fill>
      <patternFill patternType="solid">
        <fgColor theme="0" tint="-0.34998626667073579"/>
        <bgColor indexed="64"/>
      </patternFill>
    </fill>
  </fills>
  <borders count="43">
    <border>
      <left/>
      <right/>
      <top/>
      <bottom/>
      <diagonal/>
    </border>
    <border>
      <left/>
      <right/>
      <top style="thin">
        <color auto="1"/>
      </top>
      <bottom/>
      <diagonal/>
    </border>
    <border>
      <left/>
      <right/>
      <top/>
      <bottom style="thin">
        <color auto="1"/>
      </bottom>
      <diagonal/>
    </border>
    <border>
      <left/>
      <right/>
      <top/>
      <bottom style="thin">
        <color indexed="0"/>
      </bottom>
      <diagonal/>
    </border>
    <border>
      <left/>
      <right/>
      <top style="thin">
        <color auto="1"/>
      </top>
      <bottom style="thin">
        <color auto="1"/>
      </bottom>
      <diagonal/>
    </border>
    <border>
      <left/>
      <right/>
      <top/>
      <bottom style="double">
        <color auto="1"/>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rgb="FF000000"/>
      </bottom>
      <diagonal/>
    </border>
    <border>
      <left/>
      <right/>
      <top/>
      <bottom style="thin">
        <color theme="1"/>
      </bottom>
      <diagonal/>
    </border>
    <border>
      <left/>
      <right/>
      <top style="thin">
        <color theme="1"/>
      </top>
      <bottom style="thin">
        <color theme="1"/>
      </bottom>
      <diagonal/>
    </border>
    <border>
      <left/>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hair">
        <color rgb="FF000000"/>
      </top>
      <bottom style="hair">
        <color rgb="FF000000"/>
      </bottom>
      <diagonal/>
    </border>
    <border>
      <left/>
      <right/>
      <top/>
      <bottom style="hair">
        <color rgb="FF000000"/>
      </bottom>
      <diagonal/>
    </border>
    <border>
      <left/>
      <right/>
      <top style="hair">
        <color rgb="FF000000"/>
      </top>
      <bottom style="hair">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style="thin">
        <color rgb="FF000000"/>
      </left>
      <right/>
      <top style="hair">
        <color rgb="FF000000"/>
      </top>
      <bottom/>
      <diagonal/>
    </border>
    <border>
      <left/>
      <right/>
      <top style="hair">
        <color rgb="FF000000"/>
      </top>
      <bottom/>
      <diagonal/>
    </border>
    <border>
      <left/>
      <right/>
      <top/>
      <bottom style="double">
        <color rgb="FF000000"/>
      </bottom>
      <diagonal/>
    </border>
    <border>
      <left/>
      <right style="thin">
        <color rgb="FF000000"/>
      </right>
      <top style="thin">
        <color rgb="FF000000"/>
      </top>
      <bottom style="thin">
        <color rgb="FF000000"/>
      </bottom>
      <diagonal/>
    </border>
    <border>
      <left/>
      <right style="thin">
        <color rgb="FF000000"/>
      </right>
      <top style="thin">
        <color indexed="64"/>
      </top>
      <bottom style="thin">
        <color indexed="64"/>
      </bottom>
      <diagonal/>
    </border>
    <border>
      <left style="thin">
        <color rgb="FF000000"/>
      </left>
      <right/>
      <top/>
      <bottom style="hair">
        <color rgb="FF000000"/>
      </bottom>
      <diagonal/>
    </border>
    <border>
      <left style="thin">
        <color auto="1"/>
      </left>
      <right style="thin">
        <color auto="1"/>
      </right>
      <top style="thin">
        <color auto="1"/>
      </top>
      <bottom style="thin">
        <color auto="1"/>
      </bottom>
      <diagonal/>
    </border>
  </borders>
  <cellStyleXfs count="5">
    <xf numFmtId="0" fontId="0" fillId="0" borderId="0">
      <alignment vertical="center"/>
    </xf>
    <xf numFmtId="9" fontId="13" fillId="0" borderId="0" applyFont="0" applyFill="0" applyBorder="0" applyAlignment="0" applyProtection="0"/>
    <xf numFmtId="0" fontId="7" fillId="0" borderId="0"/>
    <xf numFmtId="0" fontId="7" fillId="0" borderId="0"/>
    <xf numFmtId="0" fontId="52" fillId="0" borderId="0" applyNumberFormat="0" applyFill="0" applyBorder="0" applyAlignment="0" applyProtection="0">
      <alignment vertical="center"/>
    </xf>
  </cellStyleXfs>
  <cellXfs count="558">
    <xf numFmtId="0" fontId="0" fillId="0" borderId="0" xfId="0">
      <alignment vertical="center"/>
    </xf>
    <xf numFmtId="0" fontId="3" fillId="0" borderId="0" xfId="0" applyFont="1" applyAlignment="1"/>
    <xf numFmtId="0" fontId="4" fillId="2" borderId="1" xfId="0" applyFont="1" applyFill="1" applyBorder="1" applyAlignment="1"/>
    <xf numFmtId="0" fontId="3" fillId="2" borderId="1" xfId="0" applyFont="1" applyFill="1" applyBorder="1" applyAlignment="1"/>
    <xf numFmtId="164" fontId="4" fillId="2" borderId="1" xfId="0" applyNumberFormat="1" applyFont="1" applyFill="1" applyBorder="1" applyAlignment="1"/>
    <xf numFmtId="0" fontId="3" fillId="2" borderId="0" xfId="0" applyFont="1" applyFill="1" applyAlignment="1"/>
    <xf numFmtId="164" fontId="4" fillId="2" borderId="0" xfId="0" applyNumberFormat="1" applyFont="1" applyFill="1" applyAlignment="1">
      <alignment horizontal="centerContinuous"/>
    </xf>
    <xf numFmtId="0" fontId="4" fillId="2" borderId="0" xfId="0" applyFont="1" applyFill="1" applyAlignment="1">
      <alignment horizontal="centerContinuous"/>
    </xf>
    <xf numFmtId="0" fontId="4" fillId="3" borderId="1" xfId="0" applyFont="1" applyFill="1" applyBorder="1" applyAlignment="1"/>
    <xf numFmtId="167" fontId="4" fillId="3" borderId="0" xfId="0" applyNumberFormat="1" applyFont="1" applyFill="1" applyAlignment="1">
      <alignment horizontal="right"/>
    </xf>
    <xf numFmtId="0" fontId="3" fillId="3" borderId="0" xfId="0" applyFont="1" applyFill="1" applyAlignment="1"/>
    <xf numFmtId="0" fontId="4" fillId="3" borderId="0" xfId="0" applyFont="1" applyFill="1" applyAlignment="1"/>
    <xf numFmtId="167" fontId="3" fillId="3" borderId="0" xfId="0" applyNumberFormat="1" applyFont="1" applyFill="1" applyAlignment="1">
      <alignment horizontal="right"/>
    </xf>
    <xf numFmtId="167" fontId="5" fillId="3" borderId="0" xfId="0" applyNumberFormat="1" applyFont="1" applyFill="1" applyAlignment="1">
      <alignment horizontal="right"/>
    </xf>
    <xf numFmtId="0" fontId="3" fillId="3" borderId="3" xfId="0" applyFont="1" applyFill="1" applyBorder="1" applyAlignment="1"/>
    <xf numFmtId="167" fontId="5" fillId="3" borderId="3" xfId="0" applyNumberFormat="1" applyFont="1" applyFill="1" applyBorder="1" applyAlignment="1">
      <alignment horizontal="right"/>
    </xf>
    <xf numFmtId="167" fontId="3" fillId="3" borderId="3" xfId="0" applyNumberFormat="1" applyFont="1" applyFill="1" applyBorder="1" applyAlignment="1">
      <alignment horizontal="right"/>
    </xf>
    <xf numFmtId="167" fontId="5" fillId="3" borderId="2" xfId="0" applyNumberFormat="1" applyFont="1" applyFill="1" applyBorder="1" applyAlignment="1">
      <alignment horizontal="right"/>
    </xf>
    <xf numFmtId="167" fontId="3" fillId="3" borderId="2" xfId="0" applyNumberFormat="1" applyFont="1" applyFill="1" applyBorder="1" applyAlignment="1">
      <alignment horizontal="right"/>
    </xf>
    <xf numFmtId="167" fontId="4" fillId="3" borderId="4" xfId="0" applyNumberFormat="1" applyFont="1" applyFill="1" applyBorder="1" applyAlignment="1">
      <alignment horizontal="right"/>
    </xf>
    <xf numFmtId="167" fontId="4" fillId="3" borderId="5" xfId="0" applyNumberFormat="1" applyFont="1" applyFill="1" applyBorder="1" applyAlignment="1">
      <alignment horizontal="right"/>
    </xf>
    <xf numFmtId="0" fontId="3" fillId="3" borderId="2" xfId="0" applyFont="1" applyFill="1" applyBorder="1" applyAlignment="1"/>
    <xf numFmtId="0" fontId="4" fillId="3" borderId="2" xfId="0" applyFont="1" applyFill="1" applyBorder="1" applyAlignment="1"/>
    <xf numFmtId="164" fontId="4" fillId="3" borderId="2" xfId="0" applyNumberFormat="1" applyFont="1" applyFill="1" applyBorder="1" applyAlignment="1">
      <alignment horizontal="center"/>
    </xf>
    <xf numFmtId="0" fontId="7" fillId="0" borderId="0" xfId="0" applyFont="1" applyAlignment="1"/>
    <xf numFmtId="0" fontId="3" fillId="4" borderId="0" xfId="0" applyFont="1" applyFill="1" applyAlignment="1"/>
    <xf numFmtId="164" fontId="3" fillId="4" borderId="0" xfId="0" applyNumberFormat="1" applyFont="1" applyFill="1" applyAlignment="1"/>
    <xf numFmtId="0" fontId="3" fillId="2" borderId="0" xfId="0" quotePrefix="1" applyFont="1" applyFill="1" applyAlignment="1"/>
    <xf numFmtId="164" fontId="4" fillId="2" borderId="6" xfId="0" applyNumberFormat="1" applyFont="1" applyFill="1" applyBorder="1" applyAlignment="1">
      <alignment horizontal="centerContinuous"/>
    </xf>
    <xf numFmtId="164" fontId="4" fillId="2" borderId="7" xfId="0" applyNumberFormat="1" applyFont="1" applyFill="1" applyBorder="1" applyAlignment="1">
      <alignment horizontal="centerContinuous"/>
    </xf>
    <xf numFmtId="168" fontId="8" fillId="3" borderId="0" xfId="0" applyNumberFormat="1" applyFont="1" applyFill="1" applyAlignment="1"/>
    <xf numFmtId="168" fontId="5" fillId="3" borderId="0" xfId="0" applyNumberFormat="1" applyFont="1" applyFill="1" applyAlignment="1"/>
    <xf numFmtId="168" fontId="3" fillId="3" borderId="0" xfId="0" applyNumberFormat="1" applyFont="1" applyFill="1" applyAlignment="1"/>
    <xf numFmtId="0" fontId="6" fillId="3" borderId="0" xfId="0" applyFont="1" applyFill="1" applyAlignment="1">
      <alignment horizontal="left"/>
    </xf>
    <xf numFmtId="169" fontId="6" fillId="3" borderId="0" xfId="0" applyNumberFormat="1" applyFont="1" applyFill="1" applyAlignment="1"/>
    <xf numFmtId="169" fontId="9" fillId="3" borderId="0" xfId="0" applyNumberFormat="1" applyFont="1" applyFill="1" applyAlignment="1"/>
    <xf numFmtId="0" fontId="6" fillId="0" borderId="0" xfId="0" applyFont="1" applyAlignment="1"/>
    <xf numFmtId="0" fontId="4" fillId="3" borderId="0" xfId="0" applyFont="1" applyFill="1" applyAlignment="1">
      <alignment horizontal="left"/>
    </xf>
    <xf numFmtId="0" fontId="6" fillId="3" borderId="0" xfId="0" applyFont="1" applyFill="1" applyAlignment="1">
      <alignment horizontal="left" indent="1"/>
    </xf>
    <xf numFmtId="168" fontId="4" fillId="3" borderId="0" xfId="0" applyNumberFormat="1" applyFont="1" applyFill="1" applyAlignment="1">
      <alignment horizontal="right"/>
    </xf>
    <xf numFmtId="0" fontId="3" fillId="3" borderId="0" xfId="0" applyFont="1" applyFill="1" applyAlignment="1">
      <alignment horizontal="center"/>
    </xf>
    <xf numFmtId="170" fontId="3" fillId="3" borderId="0" xfId="0" applyNumberFormat="1" applyFont="1" applyFill="1" applyAlignment="1"/>
    <xf numFmtId="0" fontId="3" fillId="3" borderId="0" xfId="0" applyFont="1" applyFill="1" applyAlignment="1">
      <alignment horizontal="left"/>
    </xf>
    <xf numFmtId="168" fontId="5" fillId="3" borderId="0" xfId="0" applyNumberFormat="1" applyFont="1" applyFill="1" applyAlignment="1">
      <alignment horizontal="right"/>
    </xf>
    <xf numFmtId="168" fontId="4" fillId="3" borderId="4" xfId="0" applyNumberFormat="1" applyFont="1" applyFill="1" applyBorder="1" applyAlignment="1">
      <alignment horizontal="right"/>
    </xf>
    <xf numFmtId="0" fontId="4" fillId="3" borderId="0" xfId="0" applyFont="1" applyFill="1" applyAlignment="1">
      <alignment horizontal="center"/>
    </xf>
    <xf numFmtId="0" fontId="4" fillId="0" borderId="0" xfId="0" applyFont="1" applyAlignment="1"/>
    <xf numFmtId="0" fontId="3" fillId="0" borderId="0" xfId="0" applyFont="1" applyAlignment="1">
      <alignment horizontal="center"/>
    </xf>
    <xf numFmtId="168" fontId="3" fillId="0" borderId="0" xfId="0" applyNumberFormat="1" applyFont="1" applyAlignment="1">
      <alignment horizontal="right"/>
    </xf>
    <xf numFmtId="168" fontId="5" fillId="0" borderId="0" xfId="0" applyNumberFormat="1" applyFont="1" applyAlignment="1">
      <alignment horizontal="right"/>
    </xf>
    <xf numFmtId="4" fontId="3" fillId="0" borderId="0" xfId="0" applyNumberFormat="1" applyFont="1" applyAlignment="1">
      <alignment horizontal="right"/>
    </xf>
    <xf numFmtId="167" fontId="4" fillId="0" borderId="0" xfId="0" applyNumberFormat="1" applyFont="1" applyAlignment="1">
      <alignment horizontal="right"/>
    </xf>
    <xf numFmtId="4" fontId="4" fillId="0" borderId="0" xfId="0" applyNumberFormat="1" applyFont="1" applyAlignment="1"/>
    <xf numFmtId="4" fontId="4" fillId="0" borderId="0" xfId="0" applyNumberFormat="1" applyFont="1" applyAlignment="1">
      <alignment horizontal="right"/>
    </xf>
    <xf numFmtId="9" fontId="8" fillId="0" borderId="0" xfId="0" applyNumberFormat="1" applyFont="1" applyAlignment="1"/>
    <xf numFmtId="168" fontId="3" fillId="0" borderId="0" xfId="0" applyNumberFormat="1" applyFont="1" applyAlignment="1"/>
    <xf numFmtId="168" fontId="4" fillId="0" borderId="0" xfId="0" applyNumberFormat="1" applyFont="1" applyAlignment="1">
      <alignment horizontal="right"/>
    </xf>
    <xf numFmtId="167" fontId="3" fillId="0" borderId="0" xfId="0" applyNumberFormat="1" applyFont="1" applyAlignment="1"/>
    <xf numFmtId="9" fontId="6" fillId="0" borderId="0" xfId="0" applyNumberFormat="1" applyFont="1" applyAlignment="1">
      <alignment horizontal="right"/>
    </xf>
    <xf numFmtId="167" fontId="3" fillId="0" borderId="0" xfId="0" applyNumberFormat="1" applyFont="1" applyAlignment="1">
      <alignment horizontal="right"/>
    </xf>
    <xf numFmtId="164" fontId="4" fillId="0" borderId="0" xfId="0" applyNumberFormat="1" applyFont="1" applyAlignment="1">
      <alignment horizontal="center"/>
    </xf>
    <xf numFmtId="171" fontId="3" fillId="0" borderId="0" xfId="0" applyNumberFormat="1" applyFont="1" applyAlignment="1"/>
    <xf numFmtId="164" fontId="3" fillId="0" borderId="0" xfId="0" applyNumberFormat="1" applyFont="1" applyAlignment="1"/>
    <xf numFmtId="0" fontId="4" fillId="5" borderId="1" xfId="0" applyFont="1" applyFill="1" applyBorder="1" applyAlignment="1"/>
    <xf numFmtId="164" fontId="3" fillId="5" borderId="1" xfId="0" applyNumberFormat="1" applyFont="1" applyFill="1" applyBorder="1" applyAlignment="1"/>
    <xf numFmtId="164" fontId="4" fillId="5" borderId="1" xfId="0" applyNumberFormat="1" applyFont="1" applyFill="1" applyBorder="1" applyAlignment="1"/>
    <xf numFmtId="0" fontId="3" fillId="5" borderId="0" xfId="0" applyFont="1" applyFill="1" applyAlignment="1"/>
    <xf numFmtId="164" fontId="3" fillId="5" borderId="0" xfId="0" applyNumberFormat="1" applyFont="1" applyFill="1" applyAlignment="1"/>
    <xf numFmtId="164" fontId="4" fillId="5" borderId="6" xfId="0" applyNumberFormat="1" applyFont="1" applyFill="1" applyBorder="1" applyAlignment="1">
      <alignment horizontal="centerContinuous"/>
    </xf>
    <xf numFmtId="164" fontId="4" fillId="5" borderId="7" xfId="0" applyNumberFormat="1" applyFont="1" applyFill="1" applyBorder="1" applyAlignment="1">
      <alignment horizontal="centerContinuous"/>
    </xf>
    <xf numFmtId="164" fontId="4" fillId="5" borderId="0" xfId="0" applyNumberFormat="1" applyFont="1" applyFill="1" applyAlignment="1">
      <alignment horizontal="centerContinuous"/>
    </xf>
    <xf numFmtId="0" fontId="4" fillId="5" borderId="0" xfId="0" applyFont="1" applyFill="1" applyAlignment="1">
      <alignment horizontal="centerContinuous"/>
    </xf>
    <xf numFmtId="0" fontId="4" fillId="6" borderId="0" xfId="0" applyFont="1" applyFill="1" applyAlignment="1"/>
    <xf numFmtId="167" fontId="4" fillId="6" borderId="0" xfId="0" applyNumberFormat="1" applyFont="1" applyFill="1" applyAlignment="1">
      <alignment horizontal="right"/>
    </xf>
    <xf numFmtId="0" fontId="3" fillId="6" borderId="0" xfId="0" applyFont="1" applyFill="1" applyAlignment="1"/>
    <xf numFmtId="167" fontId="3" fillId="6" borderId="0" xfId="0" applyNumberFormat="1" applyFont="1" applyFill="1" applyAlignment="1"/>
    <xf numFmtId="39" fontId="5" fillId="3" borderId="0" xfId="0" applyNumberFormat="1" applyFont="1" applyFill="1" applyAlignment="1">
      <alignment horizontal="right"/>
    </xf>
    <xf numFmtId="167" fontId="5" fillId="3" borderId="9" xfId="0" applyNumberFormat="1" applyFont="1" applyFill="1" applyBorder="1" applyAlignment="1">
      <alignment horizontal="right"/>
    </xf>
    <xf numFmtId="172" fontId="14" fillId="3" borderId="0" xfId="1" applyNumberFormat="1" applyFont="1" applyFill="1" applyAlignment="1">
      <alignment horizontal="right"/>
    </xf>
    <xf numFmtId="164" fontId="3" fillId="6" borderId="0" xfId="0" applyNumberFormat="1" applyFont="1" applyFill="1" applyAlignment="1">
      <alignment wrapText="1"/>
    </xf>
    <xf numFmtId="164" fontId="5" fillId="6" borderId="0" xfId="0" applyNumberFormat="1" applyFont="1" applyFill="1" applyAlignment="1">
      <alignment horizontal="right" wrapText="1"/>
    </xf>
    <xf numFmtId="164" fontId="4" fillId="6" borderId="4" xfId="0" applyNumberFormat="1" applyFont="1" applyFill="1" applyBorder="1" applyAlignment="1">
      <alignment horizontal="right" wrapText="1"/>
    </xf>
    <xf numFmtId="164" fontId="4" fillId="6" borderId="0" xfId="0" applyNumberFormat="1" applyFont="1" applyFill="1" applyAlignment="1">
      <alignment horizontal="right" wrapText="1"/>
    </xf>
    <xf numFmtId="8" fontId="9" fillId="6" borderId="0" xfId="0" applyNumberFormat="1" applyFont="1" applyFill="1" applyAlignment="1">
      <alignment horizontal="right" wrapText="1"/>
    </xf>
    <xf numFmtId="164" fontId="4" fillId="6" borderId="5" xfId="0" applyNumberFormat="1" applyFont="1" applyFill="1" applyBorder="1" applyAlignment="1">
      <alignment horizontal="right" wrapText="1"/>
    </xf>
    <xf numFmtId="0" fontId="6" fillId="3" borderId="0" xfId="0" applyFont="1" applyFill="1" applyAlignment="1"/>
    <xf numFmtId="167" fontId="15" fillId="3" borderId="0" xfId="0" applyNumberFormat="1" applyFont="1" applyFill="1">
      <alignment vertical="center"/>
    </xf>
    <xf numFmtId="167" fontId="14" fillId="3" borderId="0" xfId="0" applyNumberFormat="1" applyFont="1" applyFill="1">
      <alignment vertical="center"/>
    </xf>
    <xf numFmtId="0" fontId="3" fillId="6" borderId="0" xfId="0" applyFont="1" applyFill="1">
      <alignment vertical="center"/>
    </xf>
    <xf numFmtId="0" fontId="4" fillId="6" borderId="0" xfId="0" applyFont="1" applyFill="1">
      <alignment vertical="center"/>
    </xf>
    <xf numFmtId="0" fontId="4" fillId="6" borderId="0" xfId="0" applyFont="1" applyFill="1" applyAlignment="1">
      <alignment vertical="center" wrapText="1"/>
    </xf>
    <xf numFmtId="0" fontId="6" fillId="6" borderId="0" xfId="0" applyFont="1" applyFill="1">
      <alignment vertical="center"/>
    </xf>
    <xf numFmtId="172" fontId="14" fillId="3" borderId="0" xfId="1" applyNumberFormat="1" applyFont="1" applyFill="1" applyBorder="1" applyAlignment="1">
      <alignment horizontal="right"/>
    </xf>
    <xf numFmtId="167" fontId="4" fillId="3" borderId="1" xfId="0" applyNumberFormat="1" applyFont="1" applyFill="1" applyBorder="1" applyAlignment="1">
      <alignment horizontal="right"/>
    </xf>
    <xf numFmtId="9" fontId="3" fillId="0" borderId="0" xfId="1" applyFont="1" applyAlignment="1"/>
    <xf numFmtId="9" fontId="3" fillId="0" borderId="0" xfId="0" applyNumberFormat="1" applyFont="1" applyAlignment="1"/>
    <xf numFmtId="167" fontId="5" fillId="3" borderId="0" xfId="0" applyNumberFormat="1" applyFont="1" applyFill="1" applyAlignment="1">
      <alignment horizontal="center" vertical="center"/>
    </xf>
    <xf numFmtId="164" fontId="4" fillId="5" borderId="2" xfId="0" applyNumberFormat="1" applyFont="1" applyFill="1" applyBorder="1" applyAlignment="1">
      <alignment horizontal="centerContinuous"/>
    </xf>
    <xf numFmtId="0" fontId="3" fillId="5" borderId="2" xfId="0" applyFont="1" applyFill="1" applyBorder="1" applyAlignment="1">
      <alignment horizontal="centerContinuous"/>
    </xf>
    <xf numFmtId="0" fontId="4" fillId="5" borderId="2" xfId="0" applyFont="1" applyFill="1" applyBorder="1" applyAlignment="1">
      <alignment horizontal="centerContinuous"/>
    </xf>
    <xf numFmtId="0" fontId="4" fillId="5" borderId="2" xfId="0" applyFont="1" applyFill="1" applyBorder="1" applyAlignment="1"/>
    <xf numFmtId="164" fontId="3" fillId="5" borderId="2" xfId="0" applyNumberFormat="1" applyFont="1" applyFill="1" applyBorder="1" applyAlignment="1"/>
    <xf numFmtId="0" fontId="4" fillId="5" borderId="2" xfId="0" applyFont="1" applyFill="1" applyBorder="1" applyAlignment="1">
      <alignment wrapText="1"/>
    </xf>
    <xf numFmtId="165" fontId="4" fillId="5" borderId="2" xfId="0" applyNumberFormat="1" applyFont="1" applyFill="1" applyBorder="1" applyAlignment="1">
      <alignment horizontal="right" wrapText="1"/>
    </xf>
    <xf numFmtId="166" fontId="4" fillId="5" borderId="2" xfId="0" applyNumberFormat="1" applyFont="1" applyFill="1" applyBorder="1" applyAlignment="1">
      <alignment horizontal="right" wrapText="1"/>
    </xf>
    <xf numFmtId="0" fontId="3" fillId="6" borderId="2" xfId="0" applyFont="1" applyFill="1" applyBorder="1" applyAlignment="1"/>
    <xf numFmtId="164" fontId="3" fillId="6" borderId="2" xfId="0" applyNumberFormat="1" applyFont="1" applyFill="1" applyBorder="1" applyAlignment="1"/>
    <xf numFmtId="164" fontId="4" fillId="2" borderId="2" xfId="0" applyNumberFormat="1" applyFont="1" applyFill="1" applyBorder="1" applyAlignment="1">
      <alignment horizontal="centerContinuous"/>
    </xf>
    <xf numFmtId="0" fontId="3" fillId="2" borderId="2" xfId="0" applyFont="1" applyFill="1" applyBorder="1" applyAlignment="1">
      <alignment horizontal="centerContinuous"/>
    </xf>
    <xf numFmtId="0" fontId="4" fillId="2" borderId="2" xfId="0" applyFont="1" applyFill="1" applyBorder="1" applyAlignment="1">
      <alignment horizontal="centerContinuous"/>
    </xf>
    <xf numFmtId="0" fontId="4" fillId="2" borderId="2" xfId="0" applyFont="1" applyFill="1" applyBorder="1" applyAlignment="1"/>
    <xf numFmtId="0" fontId="4" fillId="2" borderId="2" xfId="0" applyFont="1" applyFill="1" applyBorder="1" applyAlignment="1">
      <alignment wrapText="1"/>
    </xf>
    <xf numFmtId="165" fontId="4" fillId="2" borderId="2" xfId="0" quotePrefix="1" applyNumberFormat="1" applyFont="1" applyFill="1" applyBorder="1" applyAlignment="1">
      <alignment horizontal="right" wrapText="1"/>
    </xf>
    <xf numFmtId="165" fontId="4" fillId="2" borderId="2" xfId="0" applyNumberFormat="1" applyFont="1" applyFill="1" applyBorder="1" applyAlignment="1">
      <alignment horizontal="right" wrapText="1"/>
    </xf>
    <xf numFmtId="166" fontId="4" fillId="2" borderId="2" xfId="0" applyNumberFormat="1" applyFont="1" applyFill="1" applyBorder="1" applyAlignment="1">
      <alignment horizontal="right" wrapText="1"/>
    </xf>
    <xf numFmtId="169" fontId="6" fillId="3" borderId="2" xfId="0" applyNumberFormat="1" applyFont="1" applyFill="1" applyBorder="1" applyAlignment="1"/>
    <xf numFmtId="169" fontId="9" fillId="3" borderId="2" xfId="0" applyNumberFormat="1" applyFont="1" applyFill="1" applyBorder="1" applyAlignment="1"/>
    <xf numFmtId="0" fontId="10" fillId="8" borderId="0" xfId="0" applyFont="1" applyFill="1">
      <alignment vertical="center"/>
    </xf>
    <xf numFmtId="0" fontId="10" fillId="8" borderId="8" xfId="0" applyFont="1" applyFill="1" applyBorder="1">
      <alignment vertical="center"/>
    </xf>
    <xf numFmtId="0" fontId="12" fillId="6" borderId="0" xfId="0" applyFont="1" applyFill="1">
      <alignment vertical="center"/>
    </xf>
    <xf numFmtId="4" fontId="12" fillId="6" borderId="0" xfId="0" applyNumberFormat="1" applyFont="1" applyFill="1">
      <alignment vertical="center"/>
    </xf>
    <xf numFmtId="0" fontId="10" fillId="6" borderId="0" xfId="0" applyFont="1" applyFill="1">
      <alignment vertical="center"/>
    </xf>
    <xf numFmtId="0" fontId="17" fillId="6" borderId="0" xfId="0" applyFont="1" applyFill="1">
      <alignment vertical="center"/>
    </xf>
    <xf numFmtId="168" fontId="18" fillId="3" borderId="0" xfId="0" applyNumberFormat="1" applyFont="1" applyFill="1" applyAlignment="1"/>
    <xf numFmtId="168" fontId="4" fillId="3" borderId="0" xfId="0" applyNumberFormat="1" applyFont="1" applyFill="1" applyAlignment="1"/>
    <xf numFmtId="168" fontId="18" fillId="3" borderId="1" xfId="0" applyNumberFormat="1" applyFont="1" applyFill="1" applyBorder="1" applyAlignment="1"/>
    <xf numFmtId="4" fontId="4" fillId="3" borderId="0" xfId="0" applyNumberFormat="1" applyFont="1" applyFill="1" applyAlignment="1"/>
    <xf numFmtId="4" fontId="4" fillId="3" borderId="0" xfId="0" applyNumberFormat="1" applyFont="1" applyFill="1" applyAlignment="1">
      <alignment horizontal="right"/>
    </xf>
    <xf numFmtId="3" fontId="8" fillId="3" borderId="0" xfId="0" applyNumberFormat="1" applyFont="1" applyFill="1" applyAlignment="1"/>
    <xf numFmtId="168" fontId="3" fillId="3" borderId="0" xfId="0" applyNumberFormat="1" applyFont="1" applyFill="1" applyAlignment="1">
      <alignment horizontal="right"/>
    </xf>
    <xf numFmtId="167" fontId="14" fillId="6" borderId="0" xfId="0" applyNumberFormat="1" applyFont="1" applyFill="1" applyAlignment="1"/>
    <xf numFmtId="0" fontId="17" fillId="5" borderId="11" xfId="0" applyFont="1" applyFill="1" applyBorder="1">
      <alignment vertical="center"/>
    </xf>
    <xf numFmtId="0" fontId="12" fillId="5" borderId="0" xfId="0" applyFont="1" applyFill="1">
      <alignment vertical="center"/>
    </xf>
    <xf numFmtId="0" fontId="17" fillId="5" borderId="8" xfId="0" applyFont="1" applyFill="1" applyBorder="1">
      <alignment vertical="center"/>
    </xf>
    <xf numFmtId="0" fontId="17" fillId="5" borderId="12" xfId="0" applyFont="1" applyFill="1" applyBorder="1">
      <alignment vertical="center"/>
    </xf>
    <xf numFmtId="0" fontId="17" fillId="5" borderId="13" xfId="0" applyFont="1" applyFill="1" applyBorder="1">
      <alignment vertical="center"/>
    </xf>
    <xf numFmtId="0" fontId="12" fillId="5" borderId="8" xfId="0" applyFont="1" applyFill="1" applyBorder="1">
      <alignment vertical="center"/>
    </xf>
    <xf numFmtId="0" fontId="17" fillId="5" borderId="0" xfId="0" applyFont="1" applyFill="1">
      <alignment vertical="center"/>
    </xf>
    <xf numFmtId="0" fontId="17" fillId="5" borderId="8" xfId="0" applyFont="1" applyFill="1" applyBorder="1" applyAlignment="1">
      <alignment vertical="center" wrapText="1"/>
    </xf>
    <xf numFmtId="0" fontId="17" fillId="6" borderId="0" xfId="0" applyFont="1" applyFill="1" applyAlignment="1">
      <alignment vertical="center" wrapText="1"/>
    </xf>
    <xf numFmtId="0" fontId="10" fillId="6" borderId="8" xfId="0" applyFont="1" applyFill="1" applyBorder="1">
      <alignment vertical="center"/>
    </xf>
    <xf numFmtId="4" fontId="10" fillId="6" borderId="8" xfId="0" applyNumberFormat="1" applyFont="1" applyFill="1" applyBorder="1">
      <alignment vertical="center"/>
    </xf>
    <xf numFmtId="4" fontId="17" fillId="6" borderId="0" xfId="0" applyNumberFormat="1" applyFont="1" applyFill="1">
      <alignment vertical="center"/>
    </xf>
    <xf numFmtId="0" fontId="12" fillId="6" borderId="8" xfId="0" applyFont="1" applyFill="1" applyBorder="1">
      <alignment vertical="center"/>
    </xf>
    <xf numFmtId="0" fontId="16" fillId="6" borderId="0" xfId="0" applyFont="1" applyFill="1">
      <alignment vertical="center"/>
    </xf>
    <xf numFmtId="0" fontId="21" fillId="6" borderId="0" xfId="0" applyFont="1" applyFill="1">
      <alignment vertical="center"/>
    </xf>
    <xf numFmtId="0" fontId="22" fillId="6" borderId="0" xfId="0" applyFont="1" applyFill="1">
      <alignment vertical="center"/>
    </xf>
    <xf numFmtId="10" fontId="10" fillId="6" borderId="0" xfId="0" applyNumberFormat="1" applyFont="1" applyFill="1">
      <alignment vertical="center"/>
    </xf>
    <xf numFmtId="9" fontId="10" fillId="6" borderId="0" xfId="0" applyNumberFormat="1" applyFont="1" applyFill="1">
      <alignment vertical="center"/>
    </xf>
    <xf numFmtId="9" fontId="22" fillId="6" borderId="0" xfId="0" applyNumberFormat="1" applyFont="1" applyFill="1">
      <alignment vertical="center"/>
    </xf>
    <xf numFmtId="0" fontId="23" fillId="6" borderId="0" xfId="0" applyFont="1" applyFill="1">
      <alignment vertical="center"/>
    </xf>
    <xf numFmtId="0" fontId="12" fillId="6" borderId="14" xfId="0" applyFont="1" applyFill="1" applyBorder="1">
      <alignment vertical="center"/>
    </xf>
    <xf numFmtId="4" fontId="12" fillId="6" borderId="14" xfId="0" applyNumberFormat="1" applyFont="1" applyFill="1" applyBorder="1">
      <alignment vertical="center"/>
    </xf>
    <xf numFmtId="10" fontId="22" fillId="6" borderId="0" xfId="0" applyNumberFormat="1" applyFont="1" applyFill="1">
      <alignment vertical="center"/>
    </xf>
    <xf numFmtId="0" fontId="17" fillId="6" borderId="8" xfId="0" applyFont="1" applyFill="1" applyBorder="1">
      <alignment vertical="center"/>
    </xf>
    <xf numFmtId="172" fontId="12" fillId="8" borderId="0" xfId="0" applyNumberFormat="1" applyFont="1" applyFill="1">
      <alignment vertical="center"/>
    </xf>
    <xf numFmtId="9" fontId="0" fillId="0" borderId="0" xfId="1" applyFont="1" applyAlignment="1">
      <alignment vertical="center"/>
    </xf>
    <xf numFmtId="172" fontId="0" fillId="0" borderId="0" xfId="1" applyNumberFormat="1" applyFont="1" applyAlignment="1">
      <alignment vertical="center"/>
    </xf>
    <xf numFmtId="9" fontId="3" fillId="3" borderId="0" xfId="1" applyFont="1" applyFill="1" applyAlignment="1">
      <alignment horizontal="right"/>
    </xf>
    <xf numFmtId="4" fontId="3" fillId="8" borderId="0" xfId="0" applyNumberFormat="1" applyFont="1" applyFill="1">
      <alignment vertical="center"/>
    </xf>
    <xf numFmtId="172" fontId="5" fillId="3" borderId="0" xfId="1" applyNumberFormat="1" applyFont="1" applyFill="1" applyAlignment="1">
      <alignment horizontal="right"/>
    </xf>
    <xf numFmtId="167" fontId="8" fillId="3" borderId="0" xfId="0" applyNumberFormat="1" applyFont="1" applyFill="1" applyAlignment="1">
      <alignment horizontal="right"/>
    </xf>
    <xf numFmtId="4" fontId="4" fillId="8" borderId="0" xfId="0" applyNumberFormat="1" applyFont="1" applyFill="1">
      <alignment vertical="center"/>
    </xf>
    <xf numFmtId="0" fontId="0" fillId="0" borderId="0" xfId="1" applyNumberFormat="1" applyFont="1" applyAlignment="1">
      <alignment vertical="center"/>
    </xf>
    <xf numFmtId="167" fontId="8" fillId="3" borderId="10" xfId="0" applyNumberFormat="1" applyFont="1" applyFill="1" applyBorder="1" applyAlignment="1">
      <alignment horizontal="right"/>
    </xf>
    <xf numFmtId="0" fontId="14" fillId="3" borderId="0" xfId="1" applyNumberFormat="1" applyFont="1" applyFill="1" applyAlignment="1">
      <alignment horizontal="right"/>
    </xf>
    <xf numFmtId="172" fontId="3" fillId="3" borderId="0" xfId="1" applyNumberFormat="1" applyFont="1" applyFill="1" applyAlignment="1">
      <alignment horizontal="right"/>
    </xf>
    <xf numFmtId="167" fontId="5" fillId="7" borderId="0" xfId="0" applyNumberFormat="1" applyFont="1" applyFill="1" applyAlignment="1">
      <alignment horizontal="right"/>
    </xf>
    <xf numFmtId="167" fontId="5" fillId="7" borderId="9" xfId="0" applyNumberFormat="1" applyFont="1" applyFill="1" applyBorder="1" applyAlignment="1">
      <alignment horizontal="right"/>
    </xf>
    <xf numFmtId="168" fontId="0" fillId="0" borderId="0" xfId="0" applyNumberFormat="1">
      <alignment vertical="center"/>
    </xf>
    <xf numFmtId="167" fontId="3" fillId="3" borderId="0" xfId="0" applyNumberFormat="1" applyFont="1" applyFill="1" applyAlignment="1">
      <alignment horizontal="center" vertical="center"/>
    </xf>
    <xf numFmtId="0" fontId="3" fillId="7" borderId="0" xfId="0" applyFont="1" applyFill="1" applyAlignment="1"/>
    <xf numFmtId="0" fontId="3" fillId="9" borderId="0" xfId="0" applyFont="1" applyFill="1" applyAlignment="1"/>
    <xf numFmtId="0" fontId="4" fillId="9" borderId="0" xfId="0" applyFont="1" applyFill="1" applyAlignment="1"/>
    <xf numFmtId="167" fontId="10" fillId="9" borderId="8" xfId="0" applyNumberFormat="1" applyFont="1" applyFill="1" applyBorder="1" applyAlignment="1">
      <alignment horizontal="center" vertical="center"/>
    </xf>
    <xf numFmtId="167" fontId="4" fillId="9" borderId="2" xfId="0" applyNumberFormat="1" applyFont="1" applyFill="1" applyBorder="1" applyAlignment="1">
      <alignment horizontal="right"/>
    </xf>
    <xf numFmtId="167" fontId="4" fillId="9" borderId="0" xfId="0" applyNumberFormat="1" applyFont="1" applyFill="1" applyAlignment="1">
      <alignment horizontal="center" vertical="center"/>
    </xf>
    <xf numFmtId="167" fontId="10" fillId="9" borderId="2" xfId="0" applyNumberFormat="1" applyFont="1" applyFill="1" applyBorder="1" applyAlignment="1">
      <alignment horizontal="center" vertical="center"/>
    </xf>
    <xf numFmtId="167" fontId="3" fillId="9" borderId="2" xfId="0" applyNumberFormat="1" applyFont="1" applyFill="1" applyBorder="1" applyAlignment="1">
      <alignment horizontal="right"/>
    </xf>
    <xf numFmtId="9" fontId="5" fillId="3" borderId="0" xfId="1" applyFont="1" applyFill="1" applyAlignment="1">
      <alignment horizontal="center" vertical="center"/>
    </xf>
    <xf numFmtId="9" fontId="3" fillId="3" borderId="0" xfId="1" applyFont="1" applyFill="1" applyAlignment="1">
      <alignment horizontal="center" vertical="center"/>
    </xf>
    <xf numFmtId="167" fontId="10" fillId="3" borderId="0" xfId="0" applyNumberFormat="1" applyFont="1" applyFill="1" applyAlignment="1">
      <alignment horizontal="center" vertical="center"/>
    </xf>
    <xf numFmtId="167" fontId="14" fillId="3" borderId="0" xfId="0" applyNumberFormat="1" applyFont="1" applyFill="1" applyAlignment="1">
      <alignment horizontal="right"/>
    </xf>
    <xf numFmtId="0" fontId="2" fillId="0" borderId="0" xfId="0" applyFont="1">
      <alignment vertical="center"/>
    </xf>
    <xf numFmtId="174" fontId="3" fillId="0" borderId="0" xfId="0" applyNumberFormat="1" applyFont="1" applyAlignment="1"/>
    <xf numFmtId="174" fontId="7" fillId="0" borderId="0" xfId="0" applyNumberFormat="1" applyFont="1" applyAlignment="1"/>
    <xf numFmtId="175" fontId="3" fillId="0" borderId="0" xfId="0" applyNumberFormat="1" applyFont="1" applyAlignment="1"/>
    <xf numFmtId="4" fontId="0" fillId="0" borderId="0" xfId="0" applyNumberFormat="1">
      <alignment vertical="center"/>
    </xf>
    <xf numFmtId="167" fontId="10" fillId="3" borderId="0" xfId="0" applyNumberFormat="1" applyFont="1" applyFill="1" applyAlignment="1">
      <alignment horizontal="right" vertical="center"/>
    </xf>
    <xf numFmtId="167" fontId="3" fillId="3" borderId="0" xfId="0" applyNumberFormat="1" applyFont="1" applyFill="1" applyAlignment="1"/>
    <xf numFmtId="167" fontId="4" fillId="3" borderId="0" xfId="0" applyNumberFormat="1" applyFont="1" applyFill="1" applyAlignment="1">
      <alignment horizontal="right" vertical="center"/>
    </xf>
    <xf numFmtId="167" fontId="4" fillId="3" borderId="1" xfId="0" applyNumberFormat="1" applyFont="1" applyFill="1" applyBorder="1" applyAlignment="1">
      <alignment horizontal="right" vertical="center"/>
    </xf>
    <xf numFmtId="167" fontId="4" fillId="3" borderId="0" xfId="0" applyNumberFormat="1" applyFont="1" applyFill="1" applyAlignment="1">
      <alignment horizontal="center" vertical="center"/>
    </xf>
    <xf numFmtId="167" fontId="15" fillId="3" borderId="0" xfId="0" applyNumberFormat="1" applyFont="1" applyFill="1" applyAlignment="1"/>
    <xf numFmtId="167" fontId="14" fillId="3" borderId="0" xfId="0" applyNumberFormat="1" applyFont="1" applyFill="1" applyAlignment="1"/>
    <xf numFmtId="10" fontId="14" fillId="3" borderId="0" xfId="0" applyNumberFormat="1" applyFont="1" applyFill="1" applyAlignment="1">
      <alignment horizontal="center" vertical="center"/>
    </xf>
    <xf numFmtId="10" fontId="14" fillId="3" borderId="0" xfId="0" applyNumberFormat="1" applyFont="1" applyFill="1" applyAlignment="1">
      <alignment horizontal="right"/>
    </xf>
    <xf numFmtId="167" fontId="12" fillId="3" borderId="0" xfId="0" applyNumberFormat="1" applyFont="1" applyFill="1" applyAlignment="1">
      <alignment horizontal="right"/>
    </xf>
    <xf numFmtId="167" fontId="4" fillId="3" borderId="0" xfId="0" applyNumberFormat="1" applyFont="1" applyFill="1" applyAlignment="1"/>
    <xf numFmtId="167" fontId="4" fillId="3" borderId="4" xfId="0" applyNumberFormat="1" applyFont="1" applyFill="1" applyBorder="1" applyAlignment="1">
      <alignment horizontal="center" vertical="center"/>
    </xf>
    <xf numFmtId="0" fontId="3" fillId="4" borderId="0" xfId="2" applyFont="1" applyFill="1"/>
    <xf numFmtId="164" fontId="3" fillId="4" borderId="0" xfId="2" applyNumberFormat="1" applyFont="1" applyFill="1"/>
    <xf numFmtId="0" fontId="3" fillId="3" borderId="0" xfId="2" applyFont="1" applyFill="1"/>
    <xf numFmtId="0" fontId="3" fillId="0" borderId="0" xfId="2" applyFont="1"/>
    <xf numFmtId="0" fontId="4" fillId="2" borderId="1" xfId="2" applyFont="1" applyFill="1" applyBorder="1"/>
    <xf numFmtId="164" fontId="3" fillId="2" borderId="1" xfId="2" applyNumberFormat="1" applyFont="1" applyFill="1" applyBorder="1"/>
    <xf numFmtId="164" fontId="4" fillId="2" borderId="1" xfId="2" applyNumberFormat="1" applyFont="1" applyFill="1" applyBorder="1"/>
    <xf numFmtId="0" fontId="0" fillId="3" borderId="0" xfId="0" applyFill="1" applyAlignment="1"/>
    <xf numFmtId="164" fontId="3" fillId="2" borderId="0" xfId="2" applyNumberFormat="1" applyFont="1" applyFill="1"/>
    <xf numFmtId="0" fontId="3" fillId="2" borderId="0" xfId="2" quotePrefix="1" applyFont="1" applyFill="1"/>
    <xf numFmtId="164" fontId="4" fillId="2" borderId="6" xfId="2" applyNumberFormat="1" applyFont="1" applyFill="1" applyBorder="1" applyAlignment="1">
      <alignment horizontal="centerContinuous"/>
    </xf>
    <xf numFmtId="164" fontId="4" fillId="2" borderId="7" xfId="2" applyNumberFormat="1" applyFont="1" applyFill="1" applyBorder="1" applyAlignment="1">
      <alignment horizontal="centerContinuous"/>
    </xf>
    <xf numFmtId="0" fontId="3" fillId="2" borderId="0" xfId="2" applyFont="1" applyFill="1"/>
    <xf numFmtId="164" fontId="4" fillId="2" borderId="0" xfId="2" applyNumberFormat="1" applyFont="1" applyFill="1" applyAlignment="1">
      <alignment horizontal="centerContinuous"/>
    </xf>
    <xf numFmtId="0" fontId="4" fillId="2" borderId="0" xfId="2" applyFont="1" applyFill="1" applyAlignment="1">
      <alignment horizontal="centerContinuous"/>
    </xf>
    <xf numFmtId="0" fontId="4" fillId="3" borderId="0" xfId="2" applyFont="1" applyFill="1"/>
    <xf numFmtId="164" fontId="3" fillId="3" borderId="0" xfId="2" applyNumberFormat="1" applyFont="1" applyFill="1"/>
    <xf numFmtId="164" fontId="4" fillId="3" borderId="0" xfId="2" applyNumberFormat="1" applyFont="1" applyFill="1"/>
    <xf numFmtId="0" fontId="4" fillId="0" borderId="0" xfId="2" applyFont="1"/>
    <xf numFmtId="0" fontId="3" fillId="3" borderId="0" xfId="3" applyFont="1" applyFill="1"/>
    <xf numFmtId="164" fontId="25" fillId="3" borderId="0" xfId="2" applyNumberFormat="1" applyFont="1" applyFill="1"/>
    <xf numFmtId="10" fontId="3" fillId="3" borderId="15" xfId="3" applyNumberFormat="1" applyFont="1" applyFill="1" applyBorder="1"/>
    <xf numFmtId="164" fontId="3" fillId="0" borderId="0" xfId="2" applyNumberFormat="1" applyFont="1"/>
    <xf numFmtId="0" fontId="4" fillId="2" borderId="16" xfId="2" applyFont="1" applyFill="1" applyBorder="1"/>
    <xf numFmtId="0" fontId="4" fillId="2" borderId="4" xfId="2" applyFont="1" applyFill="1" applyBorder="1"/>
    <xf numFmtId="0" fontId="4" fillId="2" borderId="17" xfId="2" applyFont="1" applyFill="1" applyBorder="1"/>
    <xf numFmtId="0" fontId="3" fillId="2" borderId="4" xfId="2" applyFont="1" applyFill="1" applyBorder="1"/>
    <xf numFmtId="0" fontId="3" fillId="2" borderId="17" xfId="2" applyFont="1" applyFill="1" applyBorder="1"/>
    <xf numFmtId="37" fontId="3" fillId="3" borderId="0" xfId="2" applyNumberFormat="1" applyFont="1" applyFill="1"/>
    <xf numFmtId="0" fontId="3" fillId="3" borderId="18" xfId="2" applyFont="1" applyFill="1" applyBorder="1"/>
    <xf numFmtId="0" fontId="3" fillId="3" borderId="0" xfId="2" applyFont="1" applyFill="1" applyAlignment="1">
      <alignment horizontal="left"/>
    </xf>
    <xf numFmtId="164" fontId="3" fillId="3" borderId="19" xfId="2" applyNumberFormat="1" applyFont="1" applyFill="1" applyBorder="1"/>
    <xf numFmtId="0" fontId="3" fillId="3" borderId="18" xfId="2" applyFont="1" applyFill="1" applyBorder="1" applyAlignment="1">
      <alignment horizontal="left"/>
    </xf>
    <xf numFmtId="10" fontId="25" fillId="3" borderId="0" xfId="2" applyNumberFormat="1" applyFont="1" applyFill="1"/>
    <xf numFmtId="0" fontId="4" fillId="3" borderId="18" xfId="2" applyFont="1" applyFill="1" applyBorder="1"/>
    <xf numFmtId="167" fontId="3" fillId="3" borderId="19" xfId="2" applyNumberFormat="1" applyFont="1" applyFill="1" applyBorder="1"/>
    <xf numFmtId="176" fontId="5" fillId="3" borderId="20" xfId="3" applyNumberFormat="1" applyFont="1" applyFill="1" applyBorder="1"/>
    <xf numFmtId="10" fontId="25" fillId="0" borderId="0" xfId="2" applyNumberFormat="1" applyFont="1"/>
    <xf numFmtId="39" fontId="25" fillId="3" borderId="19" xfId="2" applyNumberFormat="1" applyFont="1" applyFill="1" applyBorder="1"/>
    <xf numFmtId="167" fontId="3" fillId="3" borderId="19" xfId="3" applyNumberFormat="1" applyFont="1" applyFill="1" applyBorder="1"/>
    <xf numFmtId="177" fontId="25" fillId="3" borderId="0" xfId="2" applyNumberFormat="1" applyFont="1" applyFill="1"/>
    <xf numFmtId="38" fontId="3" fillId="3" borderId="19" xfId="2" applyNumberFormat="1" applyFont="1" applyFill="1" applyBorder="1"/>
    <xf numFmtId="0" fontId="3" fillId="3" borderId="7" xfId="2" applyFont="1" applyFill="1" applyBorder="1"/>
    <xf numFmtId="0" fontId="4" fillId="3" borderId="2" xfId="2" applyFont="1" applyFill="1" applyBorder="1" applyAlignment="1">
      <alignment horizontal="left"/>
    </xf>
    <xf numFmtId="0" fontId="3" fillId="3" borderId="2" xfId="2" applyFont="1" applyFill="1" applyBorder="1"/>
    <xf numFmtId="167" fontId="4" fillId="3" borderId="6" xfId="3" applyNumberFormat="1" applyFont="1" applyFill="1" applyBorder="1"/>
    <xf numFmtId="10" fontId="3" fillId="3" borderId="0" xfId="2" applyNumberFormat="1" applyFont="1" applyFill="1"/>
    <xf numFmtId="0" fontId="3" fillId="3" borderId="19" xfId="2" applyFont="1" applyFill="1" applyBorder="1"/>
    <xf numFmtId="0" fontId="3" fillId="3" borderId="21" xfId="2" applyFont="1" applyFill="1" applyBorder="1"/>
    <xf numFmtId="0" fontId="3" fillId="3" borderId="1" xfId="2" applyFont="1" applyFill="1" applyBorder="1" applyAlignment="1">
      <alignment horizontal="left"/>
    </xf>
    <xf numFmtId="0" fontId="3" fillId="3" borderId="1" xfId="2" applyFont="1" applyFill="1" applyBorder="1"/>
    <xf numFmtId="164" fontId="3" fillId="3" borderId="22" xfId="2" applyNumberFormat="1" applyFont="1" applyFill="1" applyBorder="1"/>
    <xf numFmtId="9" fontId="5" fillId="3" borderId="20" xfId="3" applyNumberFormat="1" applyFont="1" applyFill="1" applyBorder="1"/>
    <xf numFmtId="0" fontId="4" fillId="3" borderId="7" xfId="2" applyFont="1" applyFill="1" applyBorder="1"/>
    <xf numFmtId="10" fontId="4" fillId="3" borderId="2" xfId="2" applyNumberFormat="1" applyFont="1" applyFill="1" applyBorder="1"/>
    <xf numFmtId="0" fontId="3" fillId="3" borderId="6" xfId="2" applyFont="1" applyFill="1" applyBorder="1"/>
    <xf numFmtId="164" fontId="3" fillId="0" borderId="19" xfId="3" applyNumberFormat="1" applyFont="1" applyBorder="1"/>
    <xf numFmtId="0" fontId="7" fillId="3" borderId="0" xfId="2" applyFill="1"/>
    <xf numFmtId="164" fontId="4" fillId="3" borderId="6" xfId="3" applyNumberFormat="1" applyFont="1" applyFill="1" applyBorder="1"/>
    <xf numFmtId="0" fontId="4" fillId="2" borderId="4" xfId="2" applyFont="1" applyFill="1" applyBorder="1" applyAlignment="1">
      <alignment horizontal="right"/>
    </xf>
    <xf numFmtId="0" fontId="4" fillId="2" borderId="17" xfId="2" applyFont="1" applyFill="1" applyBorder="1" applyAlignment="1">
      <alignment horizontal="right"/>
    </xf>
    <xf numFmtId="167" fontId="3" fillId="3" borderId="0" xfId="2" applyNumberFormat="1" applyFont="1" applyFill="1"/>
    <xf numFmtId="38" fontId="3" fillId="3" borderId="0" xfId="2" applyNumberFormat="1" applyFont="1" applyFill="1"/>
    <xf numFmtId="164" fontId="4" fillId="3" borderId="19" xfId="2" applyNumberFormat="1" applyFont="1" applyFill="1" applyBorder="1"/>
    <xf numFmtId="0" fontId="4" fillId="3" borderId="2" xfId="2" applyFont="1" applyFill="1" applyBorder="1"/>
    <xf numFmtId="7" fontId="4" fillId="3" borderId="2" xfId="2" applyNumberFormat="1" applyFont="1" applyFill="1" applyBorder="1"/>
    <xf numFmtId="7" fontId="4" fillId="0" borderId="6" xfId="2" applyNumberFormat="1" applyFont="1" applyBorder="1"/>
    <xf numFmtId="0" fontId="3" fillId="11" borderId="0" xfId="2" applyFont="1" applyFill="1" applyAlignment="1">
      <alignment vertical="center"/>
    </xf>
    <xf numFmtId="0" fontId="3" fillId="3" borderId="0" xfId="2" applyFont="1" applyFill="1" applyAlignment="1">
      <alignment vertical="center"/>
    </xf>
    <xf numFmtId="0" fontId="3" fillId="11" borderId="0" xfId="2" applyFont="1" applyFill="1"/>
    <xf numFmtId="172" fontId="3" fillId="3" borderId="19" xfId="2" applyNumberFormat="1" applyFont="1" applyFill="1" applyBorder="1"/>
    <xf numFmtId="178" fontId="3" fillId="3" borderId="0" xfId="2" applyNumberFormat="1" applyFont="1" applyFill="1"/>
    <xf numFmtId="7" fontId="27" fillId="3" borderId="6" xfId="2" applyNumberFormat="1" applyFont="1" applyFill="1" applyBorder="1"/>
    <xf numFmtId="172" fontId="4" fillId="10" borderId="19" xfId="1" applyNumberFormat="1" applyFont="1" applyFill="1" applyBorder="1"/>
    <xf numFmtId="7" fontId="3" fillId="3" borderId="0" xfId="2" applyNumberFormat="1" applyFont="1" applyFill="1"/>
    <xf numFmtId="7" fontId="27" fillId="3" borderId="0" xfId="2" applyNumberFormat="1" applyFont="1" applyFill="1"/>
    <xf numFmtId="176" fontId="3" fillId="3" borderId="19" xfId="2" applyNumberFormat="1" applyFont="1" applyFill="1" applyBorder="1"/>
    <xf numFmtId="176" fontId="3" fillId="9" borderId="19" xfId="2" applyNumberFormat="1" applyFont="1" applyFill="1" applyBorder="1"/>
    <xf numFmtId="7" fontId="4" fillId="3" borderId="0" xfId="2" applyNumberFormat="1" applyFont="1" applyFill="1"/>
    <xf numFmtId="178" fontId="4" fillId="3" borderId="0" xfId="2" applyNumberFormat="1" applyFont="1" applyFill="1"/>
    <xf numFmtId="0" fontId="28" fillId="0" borderId="0" xfId="0" applyFont="1">
      <alignment vertical="center"/>
    </xf>
    <xf numFmtId="0" fontId="29" fillId="13" borderId="8" xfId="0" applyFont="1" applyFill="1" applyBorder="1">
      <alignment vertical="center"/>
    </xf>
    <xf numFmtId="0" fontId="29" fillId="13" borderId="0" xfId="0" applyFont="1" applyFill="1">
      <alignment vertical="center"/>
    </xf>
    <xf numFmtId="0" fontId="30" fillId="15" borderId="24" xfId="0" applyFont="1" applyFill="1" applyBorder="1">
      <alignment vertical="center"/>
    </xf>
    <xf numFmtId="0" fontId="31" fillId="15" borderId="0" xfId="0" applyFont="1" applyFill="1">
      <alignment vertical="center"/>
    </xf>
    <xf numFmtId="0" fontId="30" fillId="15" borderId="0" xfId="0" applyFont="1" applyFill="1">
      <alignment vertical="center"/>
    </xf>
    <xf numFmtId="0" fontId="29" fillId="0" borderId="0" xfId="0" applyFont="1">
      <alignment vertical="center"/>
    </xf>
    <xf numFmtId="4" fontId="32" fillId="6" borderId="0" xfId="0" applyNumberFormat="1" applyFont="1" applyFill="1" applyAlignment="1">
      <alignment vertical="center" wrapText="1"/>
    </xf>
    <xf numFmtId="10" fontId="33" fillId="6" borderId="0" xfId="0" applyNumberFormat="1" applyFont="1" applyFill="1" applyAlignment="1">
      <alignment vertical="center" wrapText="1"/>
    </xf>
    <xf numFmtId="0" fontId="34" fillId="6" borderId="0" xfId="0" applyFont="1" applyFill="1" applyAlignment="1">
      <alignment vertical="center" wrapText="1"/>
    </xf>
    <xf numFmtId="4" fontId="34" fillId="6" borderId="0" xfId="0" applyNumberFormat="1" applyFont="1" applyFill="1" applyAlignment="1">
      <alignment vertical="center" wrapText="1"/>
    </xf>
    <xf numFmtId="0" fontId="35" fillId="6" borderId="0" xfId="0" applyFont="1" applyFill="1" applyAlignment="1">
      <alignment vertical="center" wrapText="1"/>
    </xf>
    <xf numFmtId="4" fontId="35" fillId="6" borderId="0" xfId="0" applyNumberFormat="1" applyFont="1" applyFill="1" applyAlignment="1">
      <alignment vertical="center" wrapText="1"/>
    </xf>
    <xf numFmtId="4" fontId="32" fillId="6" borderId="14" xfId="0" applyNumberFormat="1" applyFont="1" applyFill="1" applyBorder="1" applyAlignment="1">
      <alignment vertical="center" wrapText="1"/>
    </xf>
    <xf numFmtId="0" fontId="29" fillId="6" borderId="0" xfId="0" applyFont="1" applyFill="1">
      <alignment vertical="center"/>
    </xf>
    <xf numFmtId="0" fontId="36" fillId="6" borderId="0" xfId="0" applyFont="1" applyFill="1">
      <alignment vertical="center"/>
    </xf>
    <xf numFmtId="8" fontId="36" fillId="6" borderId="0" xfId="0" applyNumberFormat="1" applyFont="1" applyFill="1">
      <alignment vertical="center"/>
    </xf>
    <xf numFmtId="0" fontId="29" fillId="6" borderId="8" xfId="0" applyFont="1" applyFill="1" applyBorder="1">
      <alignment vertical="center"/>
    </xf>
    <xf numFmtId="0" fontId="37" fillId="6" borderId="8" xfId="0" applyFont="1" applyFill="1" applyBorder="1">
      <alignment vertical="center"/>
    </xf>
    <xf numFmtId="0" fontId="36" fillId="6" borderId="8" xfId="0" applyFont="1" applyFill="1" applyBorder="1">
      <alignment vertical="center"/>
    </xf>
    <xf numFmtId="3" fontId="36" fillId="6" borderId="8" xfId="0" applyNumberFormat="1" applyFont="1" applyFill="1" applyBorder="1">
      <alignment vertical="center"/>
    </xf>
    <xf numFmtId="0" fontId="37" fillId="6" borderId="27" xfId="0" applyFont="1" applyFill="1" applyBorder="1">
      <alignment vertical="center"/>
    </xf>
    <xf numFmtId="0" fontId="37" fillId="6" borderId="14" xfId="0" applyFont="1" applyFill="1" applyBorder="1">
      <alignment vertical="center"/>
    </xf>
    <xf numFmtId="4" fontId="37" fillId="6" borderId="39" xfId="0" applyNumberFormat="1" applyFont="1" applyFill="1" applyBorder="1">
      <alignment vertical="center"/>
    </xf>
    <xf numFmtId="4" fontId="36" fillId="6" borderId="0" xfId="0" applyNumberFormat="1" applyFont="1" applyFill="1">
      <alignment vertical="center"/>
    </xf>
    <xf numFmtId="0" fontId="29" fillId="6" borderId="14" xfId="0" applyFont="1" applyFill="1" applyBorder="1">
      <alignment vertical="center"/>
    </xf>
    <xf numFmtId="8" fontId="37" fillId="6" borderId="39" xfId="0" applyNumberFormat="1" applyFont="1" applyFill="1" applyBorder="1">
      <alignment vertical="center"/>
    </xf>
    <xf numFmtId="0" fontId="38" fillId="6" borderId="0" xfId="0" applyFont="1" applyFill="1" applyAlignment="1">
      <alignment vertical="center" wrapText="1"/>
    </xf>
    <xf numFmtId="0" fontId="39" fillId="6" borderId="14" xfId="0" applyFont="1" applyFill="1" applyBorder="1" applyAlignment="1">
      <alignment vertical="center" wrapText="1"/>
    </xf>
    <xf numFmtId="9" fontId="33" fillId="6" borderId="0" xfId="0" applyNumberFormat="1" applyFont="1" applyFill="1" applyAlignment="1">
      <alignment vertical="center" wrapText="1"/>
    </xf>
    <xf numFmtId="4" fontId="36" fillId="6" borderId="8" xfId="0" applyNumberFormat="1" applyFont="1" applyFill="1" applyBorder="1">
      <alignment vertical="center"/>
    </xf>
    <xf numFmtId="0" fontId="40" fillId="0" borderId="0" xfId="0" applyFont="1">
      <alignment vertical="center"/>
    </xf>
    <xf numFmtId="0" fontId="3" fillId="8" borderId="0" xfId="0" applyFont="1" applyFill="1">
      <alignment vertical="center"/>
    </xf>
    <xf numFmtId="0" fontId="3" fillId="0" borderId="0" xfId="0" applyFont="1">
      <alignment vertical="center"/>
    </xf>
    <xf numFmtId="0" fontId="4" fillId="18" borderId="1" xfId="0" applyFont="1" applyFill="1" applyBorder="1">
      <alignment vertical="center"/>
    </xf>
    <xf numFmtId="0" fontId="4" fillId="18" borderId="0" xfId="0" applyFont="1" applyFill="1">
      <alignment vertical="center"/>
    </xf>
    <xf numFmtId="0" fontId="3" fillId="18" borderId="0" xfId="0" applyFont="1" applyFill="1">
      <alignment vertical="center"/>
    </xf>
    <xf numFmtId="0" fontId="4" fillId="18" borderId="2" xfId="0" applyFont="1" applyFill="1" applyBorder="1">
      <alignment vertical="center"/>
    </xf>
    <xf numFmtId="0" fontId="4" fillId="18" borderId="7" xfId="0" applyFont="1" applyFill="1" applyBorder="1">
      <alignment vertical="center"/>
    </xf>
    <xf numFmtId="0" fontId="3" fillId="18" borderId="2" xfId="0" applyFont="1" applyFill="1" applyBorder="1">
      <alignment vertical="center"/>
    </xf>
    <xf numFmtId="0" fontId="4" fillId="18" borderId="2" xfId="0" applyFont="1" applyFill="1" applyBorder="1" applyAlignment="1">
      <alignment vertical="center" wrapText="1"/>
    </xf>
    <xf numFmtId="0" fontId="4" fillId="8" borderId="0" xfId="0" applyFont="1" applyFill="1">
      <alignment vertical="center"/>
    </xf>
    <xf numFmtId="0" fontId="4" fillId="8" borderId="0" xfId="0" applyFont="1" applyFill="1" applyAlignment="1">
      <alignment vertical="center" wrapText="1"/>
    </xf>
    <xf numFmtId="0" fontId="6" fillId="8" borderId="0" xfId="0" applyFont="1" applyFill="1" applyAlignment="1">
      <alignment vertical="center" wrapText="1"/>
    </xf>
    <xf numFmtId="0" fontId="3" fillId="8" borderId="0" xfId="0" applyFont="1" applyFill="1" applyAlignment="1">
      <alignment vertical="center" wrapText="1"/>
    </xf>
    <xf numFmtId="0" fontId="6" fillId="8" borderId="0" xfId="0" applyFont="1" applyFill="1">
      <alignment vertical="center"/>
    </xf>
    <xf numFmtId="0" fontId="25" fillId="8" borderId="0" xfId="0" applyFont="1" applyFill="1" applyAlignment="1">
      <alignment vertical="center" wrapText="1"/>
    </xf>
    <xf numFmtId="0" fontId="25" fillId="8" borderId="2" xfId="0" applyFont="1" applyFill="1" applyBorder="1" applyAlignment="1">
      <alignment vertical="center" wrapText="1"/>
    </xf>
    <xf numFmtId="0" fontId="3" fillId="8" borderId="2" xfId="0" applyFont="1" applyFill="1" applyBorder="1" applyAlignment="1">
      <alignment vertical="center" wrapText="1"/>
    </xf>
    <xf numFmtId="0" fontId="4" fillId="8" borderId="2" xfId="0" applyFont="1" applyFill="1" applyBorder="1" applyAlignment="1">
      <alignment vertical="center" wrapText="1"/>
    </xf>
    <xf numFmtId="0" fontId="3" fillId="8" borderId="2" xfId="0" applyFont="1" applyFill="1" applyBorder="1">
      <alignment vertical="center"/>
    </xf>
    <xf numFmtId="0" fontId="7" fillId="8" borderId="0" xfId="0" applyFont="1" applyFill="1">
      <alignment vertical="center"/>
    </xf>
    <xf numFmtId="0" fontId="7" fillId="8" borderId="2" xfId="0" applyFont="1" applyFill="1" applyBorder="1">
      <alignment vertical="center"/>
    </xf>
    <xf numFmtId="0" fontId="41" fillId="8" borderId="16" xfId="0" applyFont="1" applyFill="1" applyBorder="1">
      <alignment vertical="center"/>
    </xf>
    <xf numFmtId="0" fontId="41" fillId="8" borderId="0" xfId="0" applyFont="1" applyFill="1">
      <alignment vertical="center"/>
    </xf>
    <xf numFmtId="0" fontId="4" fillId="18" borderId="8" xfId="0" applyFont="1" applyFill="1" applyBorder="1">
      <alignment vertical="center"/>
    </xf>
    <xf numFmtId="0" fontId="3" fillId="18" borderId="8" xfId="0" applyFont="1" applyFill="1" applyBorder="1">
      <alignment vertical="center"/>
    </xf>
    <xf numFmtId="0" fontId="4" fillId="18" borderId="8" xfId="0" applyFont="1" applyFill="1" applyBorder="1" applyAlignment="1">
      <alignment vertical="center" wrapText="1"/>
    </xf>
    <xf numFmtId="4" fontId="42" fillId="8" borderId="0" xfId="0" applyNumberFormat="1" applyFont="1" applyFill="1" applyAlignment="1">
      <alignment vertical="center" wrapText="1"/>
    </xf>
    <xf numFmtId="4" fontId="4" fillId="8" borderId="0" xfId="0" applyNumberFormat="1" applyFont="1" applyFill="1" applyAlignment="1">
      <alignment vertical="center" wrapText="1"/>
    </xf>
    <xf numFmtId="10" fontId="43" fillId="8" borderId="0" xfId="0" applyNumberFormat="1" applyFont="1" applyFill="1" applyAlignment="1">
      <alignment vertical="center" wrapText="1"/>
    </xf>
    <xf numFmtId="0" fontId="44" fillId="8" borderId="0" xfId="0" applyFont="1" applyFill="1" applyAlignment="1">
      <alignment vertical="center" wrapText="1"/>
    </xf>
    <xf numFmtId="4" fontId="44" fillId="8" borderId="0" xfId="0" applyNumberFormat="1" applyFont="1" applyFill="1" applyAlignment="1">
      <alignment vertical="center" wrapText="1"/>
    </xf>
    <xf numFmtId="4" fontId="3" fillId="8" borderId="0" xfId="0" applyNumberFormat="1" applyFont="1" applyFill="1" applyAlignment="1">
      <alignment vertical="center" wrapText="1"/>
    </xf>
    <xf numFmtId="9" fontId="6" fillId="8" borderId="8" xfId="0" applyNumberFormat="1" applyFont="1" applyFill="1" applyBorder="1" applyAlignment="1">
      <alignment vertical="center" wrapText="1"/>
    </xf>
    <xf numFmtId="9" fontId="6" fillId="8" borderId="0" xfId="0" applyNumberFormat="1" applyFont="1" applyFill="1" applyAlignment="1">
      <alignment vertical="center" wrapText="1"/>
    </xf>
    <xf numFmtId="0" fontId="45" fillId="8" borderId="0" xfId="0" applyFont="1" applyFill="1" applyAlignment="1">
      <alignment vertical="center" wrapText="1"/>
    </xf>
    <xf numFmtId="4" fontId="45" fillId="8" borderId="0" xfId="0" applyNumberFormat="1" applyFont="1" applyFill="1" applyAlignment="1">
      <alignment vertical="center" wrapText="1"/>
    </xf>
    <xf numFmtId="0" fontId="45" fillId="8" borderId="8" xfId="0" applyFont="1" applyFill="1" applyBorder="1" applyAlignment="1">
      <alignment vertical="center" wrapText="1"/>
    </xf>
    <xf numFmtId="0" fontId="3" fillId="8" borderId="8" xfId="0" applyFont="1" applyFill="1" applyBorder="1" applyAlignment="1">
      <alignment vertical="center" wrapText="1"/>
    </xf>
    <xf numFmtId="0" fontId="4" fillId="8" borderId="4" xfId="0" applyFont="1" applyFill="1" applyBorder="1" applyAlignment="1">
      <alignment vertical="center" wrapText="1"/>
    </xf>
    <xf numFmtId="9" fontId="43" fillId="8" borderId="8" xfId="0" applyNumberFormat="1" applyFont="1" applyFill="1" applyBorder="1" applyAlignment="1">
      <alignment vertical="center" wrapText="1"/>
    </xf>
    <xf numFmtId="3" fontId="44" fillId="8" borderId="0" xfId="0" applyNumberFormat="1" applyFont="1" applyFill="1" applyAlignment="1">
      <alignment vertical="center" wrapText="1"/>
    </xf>
    <xf numFmtId="3" fontId="3" fillId="8" borderId="0" xfId="0" applyNumberFormat="1" applyFont="1" applyFill="1" applyAlignment="1">
      <alignment vertical="center" wrapText="1"/>
    </xf>
    <xf numFmtId="0" fontId="3" fillId="8" borderId="8" xfId="0" applyFont="1" applyFill="1" applyBorder="1">
      <alignment vertical="center"/>
    </xf>
    <xf numFmtId="3" fontId="44" fillId="8" borderId="8" xfId="0" applyNumberFormat="1" applyFont="1" applyFill="1" applyBorder="1" applyAlignment="1">
      <alignment vertical="center" wrapText="1"/>
    </xf>
    <xf numFmtId="3" fontId="3" fillId="8" borderId="8" xfId="0" applyNumberFormat="1" applyFont="1" applyFill="1" applyBorder="1" applyAlignment="1">
      <alignment vertical="center" wrapText="1"/>
    </xf>
    <xf numFmtId="4" fontId="41" fillId="8" borderId="6" xfId="0" applyNumberFormat="1" applyFont="1" applyFill="1" applyBorder="1">
      <alignment vertical="center"/>
    </xf>
    <xf numFmtId="8" fontId="41" fillId="8" borderId="17" xfId="0" applyNumberFormat="1" applyFont="1" applyFill="1" applyBorder="1">
      <alignment vertical="center"/>
    </xf>
    <xf numFmtId="9" fontId="6" fillId="8" borderId="2" xfId="0" applyNumberFormat="1" applyFont="1" applyFill="1" applyBorder="1" applyAlignment="1">
      <alignment vertical="center" wrapText="1"/>
    </xf>
    <xf numFmtId="4" fontId="25" fillId="8" borderId="0" xfId="0" applyNumberFormat="1" applyFont="1" applyFill="1" applyAlignment="1">
      <alignment vertical="center" wrapText="1"/>
    </xf>
    <xf numFmtId="10" fontId="6" fillId="8" borderId="0" xfId="0" applyNumberFormat="1" applyFont="1" applyFill="1" applyAlignment="1">
      <alignment vertical="center" wrapText="1"/>
    </xf>
    <xf numFmtId="10" fontId="6" fillId="8" borderId="2" xfId="0" applyNumberFormat="1" applyFont="1" applyFill="1" applyBorder="1" applyAlignment="1">
      <alignment vertical="center" wrapText="1"/>
    </xf>
    <xf numFmtId="0" fontId="3" fillId="2" borderId="2" xfId="0" applyFont="1" applyFill="1" applyBorder="1" applyAlignment="1"/>
    <xf numFmtId="167" fontId="4" fillId="3" borderId="2" xfId="0" applyNumberFormat="1" applyFont="1" applyFill="1" applyBorder="1" applyAlignment="1">
      <alignment horizontal="right"/>
    </xf>
    <xf numFmtId="164" fontId="5" fillId="6" borderId="2" xfId="0" applyNumberFormat="1" applyFont="1" applyFill="1" applyBorder="1" applyAlignment="1">
      <alignment horizontal="right" wrapText="1"/>
    </xf>
    <xf numFmtId="167" fontId="10" fillId="3" borderId="2" xfId="0" applyNumberFormat="1" applyFont="1" applyFill="1" applyBorder="1" applyAlignment="1">
      <alignment horizontal="center" vertical="center"/>
    </xf>
    <xf numFmtId="173" fontId="4" fillId="2" borderId="2" xfId="0" applyNumberFormat="1" applyFont="1" applyFill="1" applyBorder="1" applyAlignment="1">
      <alignment horizontal="right" wrapText="1"/>
    </xf>
    <xf numFmtId="168" fontId="3" fillId="3" borderId="2" xfId="0" applyNumberFormat="1" applyFont="1" applyFill="1" applyBorder="1" applyAlignment="1">
      <alignment horizontal="right"/>
    </xf>
    <xf numFmtId="164" fontId="4" fillId="2" borderId="2" xfId="2" applyNumberFormat="1" applyFont="1" applyFill="1" applyBorder="1" applyAlignment="1">
      <alignment horizontal="centerContinuous"/>
    </xf>
    <xf numFmtId="0" fontId="3" fillId="2" borderId="2" xfId="2" applyFont="1" applyFill="1" applyBorder="1" applyAlignment="1">
      <alignment horizontal="centerContinuous"/>
    </xf>
    <xf numFmtId="0" fontId="4" fillId="2" borderId="2" xfId="2" applyFont="1" applyFill="1" applyBorder="1" applyAlignment="1">
      <alignment horizontal="centerContinuous"/>
    </xf>
    <xf numFmtId="0" fontId="4" fillId="2" borderId="2" xfId="2" applyFont="1" applyFill="1" applyBorder="1"/>
    <xf numFmtId="164" fontId="3" fillId="2" borderId="2" xfId="2" applyNumberFormat="1" applyFont="1" applyFill="1" applyBorder="1"/>
    <xf numFmtId="165" fontId="4" fillId="2" borderId="2" xfId="2" applyNumberFormat="1" applyFont="1" applyFill="1" applyBorder="1" applyAlignment="1">
      <alignment horizontal="right"/>
    </xf>
    <xf numFmtId="166" fontId="4" fillId="2" borderId="2" xfId="2" applyNumberFormat="1" applyFont="1" applyFill="1" applyBorder="1" applyAlignment="1">
      <alignment horizontal="right"/>
    </xf>
    <xf numFmtId="164" fontId="3" fillId="3" borderId="2" xfId="2" applyNumberFormat="1" applyFont="1" applyFill="1" applyBorder="1"/>
    <xf numFmtId="10" fontId="3" fillId="3" borderId="2" xfId="1" applyNumberFormat="1" applyFont="1" applyFill="1" applyBorder="1"/>
    <xf numFmtId="10" fontId="4" fillId="10" borderId="2" xfId="1" applyNumberFormat="1" applyFont="1" applyFill="1" applyBorder="1"/>
    <xf numFmtId="10" fontId="3" fillId="3" borderId="2" xfId="2" applyNumberFormat="1" applyFont="1" applyFill="1" applyBorder="1"/>
    <xf numFmtId="4" fontId="28" fillId="0" borderId="0" xfId="0" applyNumberFormat="1" applyFont="1">
      <alignment vertical="center"/>
    </xf>
    <xf numFmtId="2" fontId="36" fillId="6" borderId="0" xfId="0" applyNumberFormat="1" applyFont="1" applyFill="1">
      <alignment vertical="center"/>
    </xf>
    <xf numFmtId="0" fontId="46" fillId="3" borderId="0" xfId="0" applyFont="1" applyFill="1" applyAlignment="1"/>
    <xf numFmtId="0" fontId="47" fillId="20" borderId="1" xfId="0" applyFont="1" applyFill="1" applyBorder="1" applyAlignment="1">
      <alignment horizontal="centerContinuous"/>
    </xf>
    <xf numFmtId="0" fontId="48" fillId="20" borderId="1" xfId="0" applyFont="1" applyFill="1" applyBorder="1" applyAlignment="1">
      <alignment horizontal="centerContinuous"/>
    </xf>
    <xf numFmtId="0" fontId="48" fillId="20" borderId="1" xfId="0" applyFont="1" applyFill="1" applyBorder="1" applyAlignment="1"/>
    <xf numFmtId="0" fontId="48" fillId="20" borderId="22" xfId="0" applyFont="1" applyFill="1" applyBorder="1" applyAlignment="1">
      <alignment horizontal="centerContinuous"/>
    </xf>
    <xf numFmtId="0" fontId="46" fillId="0" borderId="0" xfId="0" applyFont="1" applyAlignment="1"/>
    <xf numFmtId="0" fontId="47" fillId="20" borderId="0" xfId="0" applyFont="1" applyFill="1" applyAlignment="1">
      <alignment horizontal="centerContinuous"/>
    </xf>
    <xf numFmtId="0" fontId="48" fillId="20" borderId="0" xfId="0" applyFont="1" applyFill="1" applyAlignment="1">
      <alignment horizontal="centerContinuous"/>
    </xf>
    <xf numFmtId="0" fontId="48" fillId="20" borderId="0" xfId="0" applyFont="1" applyFill="1" applyAlignment="1"/>
    <xf numFmtId="0" fontId="48" fillId="20" borderId="19" xfId="0" applyFont="1" applyFill="1" applyBorder="1" applyAlignment="1">
      <alignment horizontal="centerContinuous"/>
    </xf>
    <xf numFmtId="0" fontId="47" fillId="20" borderId="0" xfId="0" applyFont="1" applyFill="1" applyAlignment="1">
      <alignment horizontal="center"/>
    </xf>
    <xf numFmtId="0" fontId="47" fillId="20" borderId="0" xfId="0" applyFont="1" applyFill="1" applyAlignment="1"/>
    <xf numFmtId="0" fontId="49" fillId="3" borderId="18" xfId="0" applyFont="1" applyFill="1" applyBorder="1" applyAlignment="1"/>
    <xf numFmtId="8" fontId="50" fillId="3" borderId="0" xfId="0" applyNumberFormat="1" applyFont="1" applyFill="1" applyAlignment="1">
      <alignment horizontal="center" vertical="center"/>
    </xf>
    <xf numFmtId="0" fontId="49" fillId="3" borderId="0" xfId="0" applyFont="1" applyFill="1" applyAlignment="1">
      <alignment horizontal="center" vertical="center"/>
    </xf>
    <xf numFmtId="7" fontId="49" fillId="3" borderId="0" xfId="0" applyNumberFormat="1" applyFont="1" applyFill="1" applyAlignment="1">
      <alignment horizontal="center" vertical="center"/>
    </xf>
    <xf numFmtId="0" fontId="49" fillId="3" borderId="0" xfId="0" applyFont="1" applyFill="1" applyAlignment="1"/>
    <xf numFmtId="8" fontId="50" fillId="3" borderId="0" xfId="0" applyNumberFormat="1" applyFont="1" applyFill="1" applyAlignment="1">
      <alignment horizontal="center"/>
    </xf>
    <xf numFmtId="0" fontId="50" fillId="3" borderId="0" xfId="0" applyFont="1" applyFill="1" applyAlignment="1">
      <alignment horizontal="center"/>
    </xf>
    <xf numFmtId="8" fontId="50" fillId="3" borderId="19" xfId="0" applyNumberFormat="1" applyFont="1" applyFill="1" applyBorder="1" applyAlignment="1">
      <alignment horizontal="center"/>
    </xf>
    <xf numFmtId="0" fontId="46" fillId="3" borderId="18" xfId="0" applyFont="1" applyFill="1" applyBorder="1" applyAlignment="1"/>
    <xf numFmtId="4" fontId="46" fillId="3" borderId="0" xfId="0" applyNumberFormat="1" applyFont="1" applyFill="1" applyAlignment="1">
      <alignment horizontal="center" vertical="center"/>
    </xf>
    <xf numFmtId="0" fontId="46" fillId="3" borderId="0" xfId="0" applyFont="1" applyFill="1" applyAlignment="1">
      <alignment horizontal="center" vertical="center"/>
    </xf>
    <xf numFmtId="167" fontId="46" fillId="3" borderId="0" xfId="0" applyNumberFormat="1" applyFont="1" applyFill="1" applyAlignment="1">
      <alignment horizontal="center" vertical="center"/>
    </xf>
    <xf numFmtId="167" fontId="46" fillId="3" borderId="19" xfId="0" applyNumberFormat="1" applyFont="1" applyFill="1" applyBorder="1" applyAlignment="1">
      <alignment horizontal="center" vertical="center"/>
    </xf>
    <xf numFmtId="0" fontId="0" fillId="0" borderId="0" xfId="0" applyAlignment="1"/>
    <xf numFmtId="6" fontId="49" fillId="3" borderId="0" xfId="0" applyNumberFormat="1" applyFont="1" applyFill="1" applyAlignment="1">
      <alignment horizontal="center" vertical="center"/>
    </xf>
    <xf numFmtId="167" fontId="49" fillId="3" borderId="0" xfId="0" applyNumberFormat="1" applyFont="1" applyFill="1" applyAlignment="1">
      <alignment horizontal="center" vertical="center"/>
    </xf>
    <xf numFmtId="6" fontId="49" fillId="3" borderId="19" xfId="0" applyNumberFormat="1" applyFont="1" applyFill="1" applyBorder="1" applyAlignment="1">
      <alignment horizontal="center" vertical="center"/>
    </xf>
    <xf numFmtId="5" fontId="46" fillId="3" borderId="0" xfId="0" applyNumberFormat="1" applyFont="1" applyFill="1" applyAlignment="1">
      <alignment horizontal="center" vertical="center"/>
    </xf>
    <xf numFmtId="5" fontId="46" fillId="3" borderId="19" xfId="0" applyNumberFormat="1" applyFont="1" applyFill="1" applyBorder="1" applyAlignment="1">
      <alignment horizontal="center" vertical="center"/>
    </xf>
    <xf numFmtId="168" fontId="46" fillId="3" borderId="0" xfId="0" applyNumberFormat="1" applyFont="1" applyFill="1" applyAlignment="1">
      <alignment horizontal="center" vertical="center"/>
    </xf>
    <xf numFmtId="0" fontId="46" fillId="3" borderId="7" xfId="0" applyFont="1" applyFill="1" applyBorder="1" applyAlignment="1"/>
    <xf numFmtId="176" fontId="49" fillId="3" borderId="2" xfId="0" applyNumberFormat="1" applyFont="1" applyFill="1" applyBorder="1" applyAlignment="1">
      <alignment horizontal="center" vertical="center"/>
    </xf>
    <xf numFmtId="0" fontId="49" fillId="3" borderId="2" xfId="0" applyFont="1" applyFill="1" applyBorder="1" applyAlignment="1">
      <alignment horizontal="center" vertical="center"/>
    </xf>
    <xf numFmtId="0" fontId="49" fillId="3" borderId="2" xfId="0" applyFont="1" applyFill="1" applyBorder="1" applyAlignment="1"/>
    <xf numFmtId="176" fontId="49" fillId="3" borderId="6" xfId="0" applyNumberFormat="1" applyFont="1" applyFill="1" applyBorder="1" applyAlignment="1">
      <alignment horizontal="center" vertical="center"/>
    </xf>
    <xf numFmtId="0" fontId="46" fillId="21" borderId="21" xfId="0" applyFont="1" applyFill="1" applyBorder="1" applyAlignment="1"/>
    <xf numFmtId="0" fontId="46" fillId="21" borderId="1" xfId="0" applyFont="1" applyFill="1" applyBorder="1" applyAlignment="1">
      <alignment horizontal="center"/>
    </xf>
    <xf numFmtId="0" fontId="46" fillId="21" borderId="22" xfId="0" applyFont="1" applyFill="1" applyBorder="1" applyAlignment="1">
      <alignment horizontal="center"/>
    </xf>
    <xf numFmtId="10" fontId="46" fillId="3" borderId="0" xfId="0" applyNumberFormat="1" applyFont="1" applyFill="1" applyAlignment="1"/>
    <xf numFmtId="9" fontId="46" fillId="3" borderId="0" xfId="0" applyNumberFormat="1" applyFont="1" applyFill="1" applyAlignment="1"/>
    <xf numFmtId="8" fontId="46" fillId="3" borderId="0" xfId="0" applyNumberFormat="1" applyFont="1" applyFill="1" applyAlignment="1"/>
    <xf numFmtId="8" fontId="46" fillId="3" borderId="19" xfId="0" applyNumberFormat="1" applyFont="1" applyFill="1" applyBorder="1" applyAlignment="1"/>
    <xf numFmtId="7" fontId="46" fillId="3" borderId="0" xfId="0" applyNumberFormat="1" applyFont="1" applyFill="1" applyAlignment="1"/>
    <xf numFmtId="7" fontId="46" fillId="3" borderId="19" xfId="0" applyNumberFormat="1" applyFont="1" applyFill="1" applyBorder="1" applyAlignment="1"/>
    <xf numFmtId="4" fontId="46" fillId="3" borderId="0" xfId="0" applyNumberFormat="1" applyFont="1" applyFill="1" applyAlignment="1"/>
    <xf numFmtId="8" fontId="46" fillId="3" borderId="2" xfId="0" applyNumberFormat="1" applyFont="1" applyFill="1" applyBorder="1" applyAlignment="1"/>
    <xf numFmtId="8" fontId="46" fillId="3" borderId="6" xfId="0" applyNumberFormat="1" applyFont="1" applyFill="1" applyBorder="1" applyAlignment="1"/>
    <xf numFmtId="39" fontId="49" fillId="3" borderId="0" xfId="0" applyNumberFormat="1" applyFont="1" applyFill="1" applyAlignment="1">
      <alignment horizontal="left"/>
    </xf>
    <xf numFmtId="0" fontId="17" fillId="13" borderId="23" xfId="0" applyFont="1" applyFill="1" applyBorder="1" applyAlignment="1">
      <alignment vertical="center" wrapText="1"/>
    </xf>
    <xf numFmtId="0" fontId="17" fillId="13" borderId="14" xfId="0" applyFont="1" applyFill="1" applyBorder="1" applyAlignment="1">
      <alignment vertical="center" wrapText="1"/>
    </xf>
    <xf numFmtId="0" fontId="17" fillId="5" borderId="23" xfId="0" applyFont="1" applyFill="1" applyBorder="1" applyAlignment="1">
      <alignment vertical="center" wrapText="1"/>
    </xf>
    <xf numFmtId="0" fontId="17" fillId="5" borderId="13" xfId="0" applyFont="1" applyFill="1" applyBorder="1" applyAlignment="1">
      <alignment vertical="center" wrapText="1"/>
    </xf>
    <xf numFmtId="0" fontId="17" fillId="5" borderId="12" xfId="0" applyFont="1" applyFill="1" applyBorder="1" applyAlignment="1">
      <alignment vertical="center" wrapText="1"/>
    </xf>
    <xf numFmtId="176" fontId="12" fillId="6" borderId="30" xfId="0" applyNumberFormat="1" applyFont="1" applyFill="1" applyBorder="1" applyAlignment="1">
      <alignment horizontal="left" vertical="center"/>
    </xf>
    <xf numFmtId="176" fontId="12" fillId="16" borderId="0" xfId="0" applyNumberFormat="1" applyFont="1" applyFill="1" applyAlignment="1">
      <alignment horizontal="left" vertical="center"/>
    </xf>
    <xf numFmtId="176" fontId="12" fillId="16" borderId="8" xfId="0" applyNumberFormat="1" applyFont="1" applyFill="1" applyBorder="1" applyAlignment="1">
      <alignment horizontal="left" vertical="center"/>
    </xf>
    <xf numFmtId="176" fontId="12" fillId="14" borderId="14" xfId="0" applyNumberFormat="1" applyFont="1" applyFill="1" applyBorder="1" applyAlignment="1">
      <alignment horizontal="left" vertical="center"/>
    </xf>
    <xf numFmtId="0" fontId="11" fillId="3" borderId="0" xfId="0" applyFont="1" applyFill="1" applyAlignment="1"/>
    <xf numFmtId="4" fontId="4" fillId="8" borderId="4" xfId="0" applyNumberFormat="1" applyFont="1" applyFill="1" applyBorder="1" applyAlignment="1">
      <alignment vertical="center" wrapText="1"/>
    </xf>
    <xf numFmtId="1" fontId="12" fillId="6" borderId="0" xfId="0" applyNumberFormat="1" applyFont="1" applyFill="1">
      <alignment vertical="center"/>
    </xf>
    <xf numFmtId="4" fontId="22" fillId="6" borderId="0" xfId="0" applyNumberFormat="1" applyFont="1" applyFill="1">
      <alignment vertical="center"/>
    </xf>
    <xf numFmtId="0" fontId="17" fillId="5" borderId="23" xfId="0" applyFont="1" applyFill="1" applyBorder="1">
      <alignment vertical="center"/>
    </xf>
    <xf numFmtId="0" fontId="12" fillId="0" borderId="0" xfId="0" applyFont="1">
      <alignment vertical="center"/>
    </xf>
    <xf numFmtId="0" fontId="12" fillId="5" borderId="24" xfId="0" applyFont="1" applyFill="1" applyBorder="1">
      <alignment vertical="center"/>
    </xf>
    <xf numFmtId="0" fontId="17" fillId="5" borderId="25" xfId="0" applyFont="1" applyFill="1" applyBorder="1" applyAlignment="1">
      <alignment vertical="center" wrapText="1"/>
    </xf>
    <xf numFmtId="0" fontId="17" fillId="5" borderId="25" xfId="0" applyFont="1" applyFill="1" applyBorder="1">
      <alignment vertical="center"/>
    </xf>
    <xf numFmtId="0" fontId="17" fillId="5" borderId="27" xfId="0" applyFont="1" applyFill="1" applyBorder="1" applyAlignment="1">
      <alignment vertical="center" wrapText="1"/>
    </xf>
    <xf numFmtId="0" fontId="12" fillId="5" borderId="14" xfId="0" applyFont="1" applyFill="1" applyBorder="1">
      <alignment vertical="center"/>
    </xf>
    <xf numFmtId="0" fontId="17" fillId="5" borderId="24" xfId="0" applyFont="1" applyFill="1" applyBorder="1">
      <alignment vertical="center"/>
    </xf>
    <xf numFmtId="0" fontId="17" fillId="5" borderId="24" xfId="0" applyFont="1" applyFill="1" applyBorder="1" applyAlignment="1">
      <alignment vertical="center" wrapText="1"/>
    </xf>
    <xf numFmtId="0" fontId="17" fillId="5" borderId="26" xfId="0" applyFont="1" applyFill="1" applyBorder="1" applyAlignment="1">
      <alignment vertical="center" wrapText="1"/>
    </xf>
    <xf numFmtId="0" fontId="12" fillId="14" borderId="27" xfId="0" applyFont="1" applyFill="1" applyBorder="1">
      <alignment vertical="center"/>
    </xf>
    <xf numFmtId="0" fontId="12" fillId="14" borderId="14" xfId="0" applyFont="1" applyFill="1" applyBorder="1">
      <alignment vertical="center"/>
    </xf>
    <xf numFmtId="8" fontId="12" fillId="14" borderId="14" xfId="0" applyNumberFormat="1" applyFont="1" applyFill="1" applyBorder="1">
      <alignment vertical="center"/>
    </xf>
    <xf numFmtId="4" fontId="12" fillId="14" borderId="14" xfId="0" applyNumberFormat="1" applyFont="1" applyFill="1" applyBorder="1">
      <alignment vertical="center"/>
    </xf>
    <xf numFmtId="0" fontId="12" fillId="6" borderId="28" xfId="0" applyFont="1" applyFill="1" applyBorder="1">
      <alignment vertical="center"/>
    </xf>
    <xf numFmtId="0" fontId="12" fillId="0" borderId="29" xfId="0" applyFont="1" applyBorder="1">
      <alignment vertical="center"/>
    </xf>
    <xf numFmtId="8" fontId="12" fillId="6" borderId="30" xfId="0" applyNumberFormat="1" applyFont="1" applyFill="1" applyBorder="1">
      <alignment vertical="center"/>
    </xf>
    <xf numFmtId="4" fontId="12" fillId="6" borderId="30" xfId="0" applyNumberFormat="1" applyFont="1" applyFill="1" applyBorder="1">
      <alignment vertical="center"/>
    </xf>
    <xf numFmtId="0" fontId="12" fillId="0" borderId="30" xfId="0" applyFont="1" applyBorder="1">
      <alignment vertical="center"/>
    </xf>
    <xf numFmtId="0" fontId="12" fillId="6" borderId="31" xfId="0" applyFont="1" applyFill="1" applyBorder="1">
      <alignment vertical="center"/>
    </xf>
    <xf numFmtId="0" fontId="12" fillId="0" borderId="32" xfId="0" applyFont="1" applyBorder="1">
      <alignment vertical="center"/>
    </xf>
    <xf numFmtId="8" fontId="12" fillId="6" borderId="32" xfId="0" applyNumberFormat="1" applyFont="1" applyFill="1" applyBorder="1">
      <alignment vertical="center"/>
    </xf>
    <xf numFmtId="4" fontId="12" fillId="6" borderId="32" xfId="0" applyNumberFormat="1" applyFont="1" applyFill="1" applyBorder="1">
      <alignment vertical="center"/>
    </xf>
    <xf numFmtId="0" fontId="12" fillId="0" borderId="8" xfId="0" applyFont="1" applyBorder="1">
      <alignment vertical="center"/>
    </xf>
    <xf numFmtId="8" fontId="12" fillId="6" borderId="8" xfId="0" applyNumberFormat="1" applyFont="1" applyFill="1" applyBorder="1">
      <alignment vertical="center"/>
    </xf>
    <xf numFmtId="4" fontId="12" fillId="6" borderId="8" xfId="0" applyNumberFormat="1" applyFont="1" applyFill="1" applyBorder="1">
      <alignment vertical="center"/>
    </xf>
    <xf numFmtId="0" fontId="12" fillId="16" borderId="0" xfId="0" applyFont="1" applyFill="1">
      <alignment vertical="center"/>
    </xf>
    <xf numFmtId="0" fontId="17" fillId="16" borderId="0" xfId="0" applyFont="1" applyFill="1">
      <alignment vertical="center"/>
    </xf>
    <xf numFmtId="0" fontId="12" fillId="16" borderId="8" xfId="0" applyFont="1" applyFill="1" applyBorder="1">
      <alignment vertical="center"/>
    </xf>
    <xf numFmtId="0" fontId="17" fillId="16" borderId="8" xfId="0" applyFont="1" applyFill="1" applyBorder="1">
      <alignment vertical="center"/>
    </xf>
    <xf numFmtId="0" fontId="17" fillId="5" borderId="0" xfId="0" applyFont="1" applyFill="1" applyAlignment="1">
      <alignment vertical="center" wrapText="1"/>
    </xf>
    <xf numFmtId="0" fontId="17" fillId="5" borderId="33" xfId="0" applyFont="1" applyFill="1" applyBorder="1" applyAlignment="1">
      <alignment vertical="center" wrapText="1"/>
    </xf>
    <xf numFmtId="0" fontId="12" fillId="6" borderId="34" xfId="0" applyFont="1" applyFill="1" applyBorder="1">
      <alignment vertical="center"/>
    </xf>
    <xf numFmtId="4" fontId="12" fillId="6" borderId="35" xfId="0" applyNumberFormat="1" applyFont="1" applyFill="1" applyBorder="1">
      <alignment vertical="center"/>
    </xf>
    <xf numFmtId="8" fontId="12" fillId="6" borderId="35" xfId="0" applyNumberFormat="1" applyFont="1" applyFill="1" applyBorder="1">
      <alignment vertical="center"/>
    </xf>
    <xf numFmtId="3" fontId="12" fillId="6" borderId="30" xfId="0" applyNumberFormat="1" applyFont="1" applyFill="1" applyBorder="1">
      <alignment vertical="center"/>
    </xf>
    <xf numFmtId="0" fontId="12" fillId="6" borderId="36" xfId="0" applyFont="1" applyFill="1" applyBorder="1">
      <alignment vertical="center"/>
    </xf>
    <xf numFmtId="4" fontId="12" fillId="6" borderId="37" xfId="0" applyNumberFormat="1" applyFont="1" applyFill="1" applyBorder="1">
      <alignment vertical="center"/>
    </xf>
    <xf numFmtId="3" fontId="12" fillId="6" borderId="37" xfId="0" applyNumberFormat="1" applyFont="1" applyFill="1" applyBorder="1">
      <alignment vertical="center"/>
    </xf>
    <xf numFmtId="8" fontId="12" fillId="6" borderId="37" xfId="0" applyNumberFormat="1" applyFont="1" applyFill="1" applyBorder="1">
      <alignment vertical="center"/>
    </xf>
    <xf numFmtId="3" fontId="12" fillId="6" borderId="32" xfId="0" applyNumberFormat="1" applyFont="1" applyFill="1" applyBorder="1">
      <alignment vertical="center"/>
    </xf>
    <xf numFmtId="0" fontId="12" fillId="5" borderId="11" xfId="0" applyFont="1" applyFill="1" applyBorder="1">
      <alignment vertical="center"/>
    </xf>
    <xf numFmtId="4" fontId="17" fillId="6" borderId="0" xfId="0" applyNumberFormat="1" applyFont="1" applyFill="1" applyAlignment="1">
      <alignment vertical="center" wrapText="1"/>
    </xf>
    <xf numFmtId="0" fontId="21" fillId="6" borderId="0" xfId="0" applyFont="1" applyFill="1" applyAlignment="1">
      <alignment vertical="center" wrapText="1"/>
    </xf>
    <xf numFmtId="0" fontId="12" fillId="6" borderId="0" xfId="0" applyFont="1" applyFill="1" applyAlignment="1">
      <alignment vertical="center" wrapText="1"/>
    </xf>
    <xf numFmtId="4" fontId="12" fillId="6" borderId="0" xfId="0" applyNumberFormat="1" applyFont="1" applyFill="1" applyAlignment="1">
      <alignment vertical="center" wrapText="1"/>
    </xf>
    <xf numFmtId="9" fontId="21" fillId="6" borderId="8" xfId="0" applyNumberFormat="1" applyFont="1" applyFill="1" applyBorder="1" applyAlignment="1">
      <alignment vertical="center" wrapText="1"/>
    </xf>
    <xf numFmtId="9" fontId="21" fillId="6" borderId="0" xfId="0" applyNumberFormat="1" applyFont="1" applyFill="1" applyAlignment="1">
      <alignment vertical="center" wrapText="1"/>
    </xf>
    <xf numFmtId="4" fontId="25" fillId="6" borderId="0" xfId="0" applyNumberFormat="1" applyFont="1" applyFill="1" applyAlignment="1">
      <alignment vertical="center" wrapText="1"/>
    </xf>
    <xf numFmtId="4" fontId="17" fillId="6" borderId="8" xfId="0" applyNumberFormat="1" applyFont="1" applyFill="1" applyBorder="1">
      <alignment vertical="center"/>
    </xf>
    <xf numFmtId="0" fontId="10" fillId="6" borderId="0" xfId="0" applyFont="1" applyFill="1" applyAlignment="1">
      <alignment vertical="center" wrapText="1"/>
    </xf>
    <xf numFmtId="0" fontId="10" fillId="6" borderId="8" xfId="0" applyFont="1" applyFill="1" applyBorder="1" applyAlignment="1">
      <alignment vertical="center" wrapText="1"/>
    </xf>
    <xf numFmtId="0" fontId="17" fillId="6" borderId="14" xfId="0" applyFont="1" applyFill="1" applyBorder="1" applyAlignment="1">
      <alignment vertical="center" wrapText="1"/>
    </xf>
    <xf numFmtId="8" fontId="22" fillId="6" borderId="0" xfId="0" applyNumberFormat="1" applyFont="1" applyFill="1" applyAlignment="1">
      <alignment vertical="center" wrapText="1"/>
    </xf>
    <xf numFmtId="4" fontId="17" fillId="6" borderId="38" xfId="0" applyNumberFormat="1" applyFont="1" applyFill="1" applyBorder="1" applyAlignment="1">
      <alignment vertical="center" wrapText="1"/>
    </xf>
    <xf numFmtId="2" fontId="10" fillId="6" borderId="0" xfId="0" applyNumberFormat="1" applyFont="1" applyFill="1">
      <alignment vertical="center"/>
    </xf>
    <xf numFmtId="4" fontId="10" fillId="6" borderId="0" xfId="0" applyNumberFormat="1" applyFont="1" applyFill="1">
      <alignment vertical="center"/>
    </xf>
    <xf numFmtId="0" fontId="25" fillId="6" borderId="0" xfId="0" applyFont="1" applyFill="1" applyAlignment="1">
      <alignment vertical="center" wrapText="1"/>
    </xf>
    <xf numFmtId="179" fontId="12" fillId="6" borderId="0" xfId="0" applyNumberFormat="1" applyFont="1" applyFill="1" applyAlignment="1">
      <alignment vertical="center" wrapText="1"/>
    </xf>
    <xf numFmtId="10" fontId="21" fillId="6" borderId="0" xfId="0" applyNumberFormat="1" applyFont="1" applyFill="1" applyAlignment="1">
      <alignment vertical="center" wrapText="1"/>
    </xf>
    <xf numFmtId="10" fontId="21" fillId="6" borderId="8" xfId="0" applyNumberFormat="1" applyFont="1" applyFill="1" applyBorder="1" applyAlignment="1">
      <alignment vertical="center" wrapText="1"/>
    </xf>
    <xf numFmtId="172" fontId="21" fillId="6" borderId="0" xfId="0" applyNumberFormat="1" applyFont="1" applyFill="1" applyAlignment="1">
      <alignment vertical="center" wrapText="1"/>
    </xf>
    <xf numFmtId="180" fontId="17" fillId="6" borderId="8" xfId="0" applyNumberFormat="1" applyFont="1" applyFill="1" applyBorder="1">
      <alignment vertical="center"/>
    </xf>
    <xf numFmtId="180" fontId="17" fillId="6" borderId="0" xfId="0" applyNumberFormat="1" applyFont="1" applyFill="1" applyAlignment="1">
      <alignment vertical="center" wrapText="1"/>
    </xf>
    <xf numFmtId="0" fontId="22" fillId="6" borderId="0" xfId="0" applyFont="1" applyFill="1" applyAlignment="1">
      <alignment vertical="center" wrapText="1"/>
    </xf>
    <xf numFmtId="180" fontId="17" fillId="6" borderId="38" xfId="0" applyNumberFormat="1" applyFont="1" applyFill="1" applyBorder="1" applyAlignment="1">
      <alignment vertical="center" wrapText="1"/>
    </xf>
    <xf numFmtId="169" fontId="12" fillId="6" borderId="0" xfId="0" applyNumberFormat="1" applyFont="1" applyFill="1" applyAlignment="1">
      <alignment vertical="center" wrapText="1"/>
    </xf>
    <xf numFmtId="179" fontId="10" fillId="6" borderId="0" xfId="0" applyNumberFormat="1" applyFont="1" applyFill="1">
      <alignment vertical="center"/>
    </xf>
    <xf numFmtId="0" fontId="35" fillId="8" borderId="0" xfId="0" applyFont="1" applyFill="1" applyAlignment="1">
      <alignment vertical="center" wrapText="1"/>
    </xf>
    <xf numFmtId="0" fontId="32" fillId="8" borderId="0" xfId="0" applyFont="1" applyFill="1" applyAlignment="1">
      <alignment vertical="center" wrapText="1"/>
    </xf>
    <xf numFmtId="0" fontId="34" fillId="8" borderId="0" xfId="0" applyFont="1" applyFill="1" applyAlignment="1">
      <alignment vertical="center" wrapText="1"/>
    </xf>
    <xf numFmtId="0" fontId="34" fillId="8" borderId="2" xfId="0" applyFont="1" applyFill="1" applyBorder="1" applyAlignment="1">
      <alignment vertical="center" wrapText="1"/>
    </xf>
    <xf numFmtId="4" fontId="32" fillId="8" borderId="0" xfId="0" applyNumberFormat="1" applyFont="1" applyFill="1" applyAlignment="1">
      <alignment vertical="center" wrapText="1"/>
    </xf>
    <xf numFmtId="10" fontId="33" fillId="8" borderId="0" xfId="0" applyNumberFormat="1" applyFont="1" applyFill="1" applyAlignment="1">
      <alignment vertical="center" wrapText="1"/>
    </xf>
    <xf numFmtId="4" fontId="34" fillId="8" borderId="0" xfId="0" applyNumberFormat="1" applyFont="1" applyFill="1" applyAlignment="1">
      <alignment vertical="center" wrapText="1"/>
    </xf>
    <xf numFmtId="4" fontId="32" fillId="8" borderId="4" xfId="0" applyNumberFormat="1" applyFont="1" applyFill="1" applyBorder="1" applyAlignment="1">
      <alignment vertical="center" wrapText="1"/>
    </xf>
    <xf numFmtId="8" fontId="36" fillId="8" borderId="0" xfId="0" applyNumberFormat="1" applyFont="1" applyFill="1">
      <alignment vertical="center"/>
    </xf>
    <xf numFmtId="0" fontId="36" fillId="8" borderId="2" xfId="0" applyFont="1" applyFill="1" applyBorder="1">
      <alignment vertical="center"/>
    </xf>
    <xf numFmtId="0" fontId="36" fillId="8" borderId="0" xfId="0" applyFont="1" applyFill="1">
      <alignment vertical="center"/>
    </xf>
    <xf numFmtId="2" fontId="3" fillId="8" borderId="0" xfId="0" applyNumberFormat="1" applyFont="1" applyFill="1" applyAlignment="1">
      <alignment vertical="center" wrapText="1"/>
    </xf>
    <xf numFmtId="9" fontId="6" fillId="8" borderId="2" xfId="1" applyFont="1" applyFill="1" applyBorder="1" applyAlignment="1">
      <alignment vertical="center" wrapText="1"/>
    </xf>
    <xf numFmtId="9" fontId="6" fillId="8" borderId="0" xfId="1" applyFont="1" applyFill="1" applyAlignment="1">
      <alignment vertical="center" wrapText="1"/>
    </xf>
    <xf numFmtId="9" fontId="33" fillId="8" borderId="2" xfId="1" applyFont="1" applyFill="1" applyBorder="1" applyAlignment="1">
      <alignment vertical="center" wrapText="1"/>
    </xf>
    <xf numFmtId="1" fontId="34" fillId="8" borderId="0" xfId="0" applyNumberFormat="1" applyFont="1" applyFill="1" applyAlignment="1">
      <alignment vertical="center" wrapText="1"/>
    </xf>
    <xf numFmtId="1" fontId="4" fillId="8" borderId="0" xfId="0" applyNumberFormat="1" applyFont="1" applyFill="1" applyAlignment="1">
      <alignment vertical="center" wrapText="1"/>
    </xf>
    <xf numFmtId="1" fontId="3" fillId="8" borderId="0" xfId="0" applyNumberFormat="1" applyFont="1" applyFill="1" applyAlignment="1">
      <alignment vertical="center" wrapText="1"/>
    </xf>
    <xf numFmtId="2" fontId="0" fillId="0" borderId="0" xfId="0" applyNumberFormat="1">
      <alignment vertical="center"/>
    </xf>
    <xf numFmtId="167" fontId="0" fillId="0" borderId="0" xfId="0" applyNumberFormat="1">
      <alignment vertical="center"/>
    </xf>
    <xf numFmtId="37" fontId="0" fillId="0" borderId="0" xfId="0" applyNumberFormat="1">
      <alignment vertical="center"/>
    </xf>
    <xf numFmtId="10" fontId="33" fillId="8" borderId="8" xfId="0" applyNumberFormat="1" applyFont="1" applyFill="1" applyBorder="1" applyAlignment="1">
      <alignment vertical="center" wrapText="1"/>
    </xf>
    <xf numFmtId="0" fontId="12" fillId="6" borderId="41" xfId="0" applyFont="1" applyFill="1" applyBorder="1">
      <alignment vertical="center"/>
    </xf>
    <xf numFmtId="4" fontId="12" fillId="6" borderId="29" xfId="0" applyNumberFormat="1" applyFont="1" applyFill="1" applyBorder="1">
      <alignment vertical="center"/>
    </xf>
    <xf numFmtId="8" fontId="12" fillId="6" borderId="29" xfId="0" applyNumberFormat="1" applyFont="1" applyFill="1" applyBorder="1">
      <alignment vertical="center"/>
    </xf>
    <xf numFmtId="0" fontId="52" fillId="0" borderId="0" xfId="4">
      <alignment vertical="center"/>
    </xf>
    <xf numFmtId="176" fontId="51" fillId="3" borderId="2" xfId="0" applyNumberFormat="1" applyFont="1" applyFill="1" applyBorder="1" applyAlignment="1">
      <alignment horizontal="center" vertical="center"/>
    </xf>
    <xf numFmtId="172" fontId="0" fillId="0" borderId="0" xfId="1" applyNumberFormat="1" applyFont="1"/>
    <xf numFmtId="0" fontId="53" fillId="0" borderId="42" xfId="0" applyFont="1" applyBorder="1" applyAlignment="1">
      <alignment horizontal="center" vertical="top"/>
    </xf>
    <xf numFmtId="0" fontId="4" fillId="11" borderId="0" xfId="2" applyFont="1" applyFill="1" applyAlignment="1">
      <alignment horizontal="center" vertical="center"/>
    </xf>
    <xf numFmtId="0" fontId="4" fillId="11" borderId="0" xfId="2" applyFont="1" applyFill="1" applyAlignment="1">
      <alignment horizontal="center"/>
    </xf>
    <xf numFmtId="0" fontId="3" fillId="12" borderId="0" xfId="2" applyFont="1" applyFill="1" applyAlignment="1">
      <alignment horizontal="center" vertical="center"/>
    </xf>
    <xf numFmtId="0" fontId="17" fillId="5" borderId="25" xfId="0" applyFont="1" applyFill="1" applyBorder="1" applyAlignment="1">
      <alignment vertical="center" wrapText="1"/>
    </xf>
    <xf numFmtId="0" fontId="17" fillId="5" borderId="26" xfId="0" applyFont="1" applyFill="1" applyBorder="1" applyAlignment="1">
      <alignment vertical="center" wrapText="1"/>
    </xf>
    <xf numFmtId="0" fontId="29" fillId="17" borderId="27" xfId="0" applyFont="1" applyFill="1" applyBorder="1" applyAlignment="1">
      <alignment vertical="center" wrapText="1"/>
    </xf>
    <xf numFmtId="0" fontId="29" fillId="17" borderId="14" xfId="0" applyFont="1" applyFill="1" applyBorder="1" applyAlignment="1">
      <alignment vertical="center" wrapText="1"/>
    </xf>
    <xf numFmtId="0" fontId="29" fillId="17" borderId="39" xfId="0" applyFont="1" applyFill="1" applyBorder="1" applyAlignment="1">
      <alignment vertical="center" wrapText="1"/>
    </xf>
    <xf numFmtId="0" fontId="7" fillId="19" borderId="16" xfId="0" applyFont="1" applyFill="1" applyBorder="1" applyAlignment="1">
      <alignment vertical="center" wrapText="1"/>
    </xf>
    <xf numFmtId="0" fontId="7" fillId="19" borderId="4" xfId="0" applyFont="1" applyFill="1" applyBorder="1" applyAlignment="1">
      <alignment vertical="center" wrapText="1"/>
    </xf>
    <xf numFmtId="0" fontId="7" fillId="19" borderId="40" xfId="0" applyFont="1" applyFill="1" applyBorder="1" applyAlignment="1">
      <alignment vertical="center" wrapText="1"/>
    </xf>
    <xf numFmtId="0" fontId="54" fillId="0" borderId="0" xfId="0" applyFont="1">
      <alignment vertical="center"/>
    </xf>
    <xf numFmtId="0" fontId="55" fillId="0" borderId="0" xfId="0" applyFont="1">
      <alignment vertical="center"/>
    </xf>
    <xf numFmtId="0" fontId="1" fillId="0" borderId="0" xfId="0" applyFont="1">
      <alignment vertical="center"/>
    </xf>
    <xf numFmtId="0" fontId="56" fillId="0" borderId="0" xfId="0" applyFont="1">
      <alignment vertical="center"/>
    </xf>
    <xf numFmtId="0" fontId="57" fillId="0" borderId="0" xfId="0" applyFont="1">
      <alignment vertical="center"/>
    </xf>
  </cellXfs>
  <cellStyles count="5">
    <cellStyle name="Hyperlink" xfId="4" builtinId="8"/>
    <cellStyle name="Normal" xfId="0" builtinId="0"/>
    <cellStyle name="Normal 2" xfId="2" xr:uid="{E738CE37-A120-47A2-B6B8-C25F0915124A}"/>
    <cellStyle name="Normal_DCF analysis" xfId="3" xr:uid="{4BB340C5-2E49-4A65-B524-AFEF02BB6ADA}"/>
    <cellStyle name="Percent" xfId="1" builtinId="5"/>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'Income Statement'!$C$59</c:f>
              <c:strCache>
                <c:ptCount val="1"/>
                <c:pt idx="0">
                  <c:v>Revenue</c:v>
                </c:pt>
              </c:strCache>
            </c:strRef>
          </c:tx>
          <c:spPr>
            <a:solidFill>
              <a:schemeClr val="accent1"/>
            </a:solidFill>
            <a:ln>
              <a:noFill/>
            </a:ln>
            <a:effectLst/>
          </c:spPr>
          <c:invertIfNegative val="0"/>
          <c:cat>
            <c:strRef>
              <c:f>'Income Statement'!$D$58:$L$58</c:f>
              <c:strCache>
                <c:ptCount val="9"/>
                <c:pt idx="0">
                  <c:v>2022</c:v>
                </c:pt>
                <c:pt idx="1">
                  <c:v>2023</c:v>
                </c:pt>
                <c:pt idx="2">
                  <c:v>2024</c:v>
                </c:pt>
                <c:pt idx="3">
                  <c:v>2025</c:v>
                </c:pt>
                <c:pt idx="4">
                  <c:v>2026</c:v>
                </c:pt>
                <c:pt idx="5">
                  <c:v>2027</c:v>
                </c:pt>
                <c:pt idx="6">
                  <c:v>2028</c:v>
                </c:pt>
                <c:pt idx="7">
                  <c:v>2029</c:v>
                </c:pt>
                <c:pt idx="8">
                  <c:v>CAGR</c:v>
                </c:pt>
              </c:strCache>
            </c:strRef>
          </c:cat>
          <c:val>
            <c:numRef>
              <c:f>'Income Statement'!$D$59:$L$59</c:f>
              <c:numCache>
                <c:formatCode>#,##0_);\(#,##0\)</c:formatCode>
                <c:ptCount val="9"/>
                <c:pt idx="0">
                  <c:v>43004</c:v>
                </c:pt>
                <c:pt idx="1">
                  <c:v>45754</c:v>
                </c:pt>
                <c:pt idx="2">
                  <c:v>47061</c:v>
                </c:pt>
                <c:pt idx="3">
                  <c:v>48120</c:v>
                </c:pt>
                <c:pt idx="4">
                  <c:v>50650</c:v>
                </c:pt>
                <c:pt idx="5">
                  <c:v>53182.5</c:v>
                </c:pt>
                <c:pt idx="6">
                  <c:v>55575.712499999994</c:v>
                </c:pt>
                <c:pt idx="7">
                  <c:v>57798.740999999995</c:v>
                </c:pt>
                <c:pt idx="8" formatCode="0.0%">
                  <c:v>4.3143888299659539E-2</c:v>
                </c:pt>
              </c:numCache>
            </c:numRef>
          </c:val>
          <c:extLst>
            <c:ext xmlns:c16="http://schemas.microsoft.com/office/drawing/2014/chart" uri="{C3380CC4-5D6E-409C-BE32-E72D297353CC}">
              <c16:uniqueId val="{00000000-0397-674B-BE75-D5AA37AF47BA}"/>
            </c:ext>
          </c:extLst>
        </c:ser>
        <c:ser>
          <c:idx val="1"/>
          <c:order val="1"/>
          <c:tx>
            <c:strRef>
              <c:f>'Income Statement'!$C$60</c:f>
              <c:strCache>
                <c:ptCount val="1"/>
                <c:pt idx="0">
                  <c:v>COGS</c:v>
                </c:pt>
              </c:strCache>
            </c:strRef>
          </c:tx>
          <c:spPr>
            <a:solidFill>
              <a:schemeClr val="accent2"/>
            </a:solidFill>
            <a:ln>
              <a:noFill/>
            </a:ln>
            <a:effectLst/>
          </c:spPr>
          <c:invertIfNegative val="0"/>
          <c:cat>
            <c:strRef>
              <c:f>'Income Statement'!$D$58:$L$58</c:f>
              <c:strCache>
                <c:ptCount val="9"/>
                <c:pt idx="0">
                  <c:v>2022</c:v>
                </c:pt>
                <c:pt idx="1">
                  <c:v>2023</c:v>
                </c:pt>
                <c:pt idx="2">
                  <c:v>2024</c:v>
                </c:pt>
                <c:pt idx="3">
                  <c:v>2025</c:v>
                </c:pt>
                <c:pt idx="4">
                  <c:v>2026</c:v>
                </c:pt>
                <c:pt idx="5">
                  <c:v>2027</c:v>
                </c:pt>
                <c:pt idx="6">
                  <c:v>2028</c:v>
                </c:pt>
                <c:pt idx="7">
                  <c:v>2029</c:v>
                </c:pt>
                <c:pt idx="8">
                  <c:v>CAGR</c:v>
                </c:pt>
              </c:strCache>
            </c:strRef>
          </c:cat>
          <c:val>
            <c:numRef>
              <c:f>'Income Statement'!$D$60:$L$60</c:f>
              <c:numCache>
                <c:formatCode>#,##0_);\(#,##0\)</c:formatCode>
                <c:ptCount val="9"/>
                <c:pt idx="0">
                  <c:v>16740</c:v>
                </c:pt>
                <c:pt idx="1">
                  <c:v>17392</c:v>
                </c:pt>
                <c:pt idx="2">
                  <c:v>17249</c:v>
                </c:pt>
                <c:pt idx="3">
                  <c:v>18840.149231848027</c:v>
                </c:pt>
                <c:pt idx="4">
                  <c:v>19324.205706423578</c:v>
                </c:pt>
                <c:pt idx="5">
                  <c:v>20024.503491744756</c:v>
                </c:pt>
                <c:pt idx="6">
                  <c:v>20925.606148873267</c:v>
                </c:pt>
                <c:pt idx="7">
                  <c:v>21762.6303948282</c:v>
                </c:pt>
                <c:pt idx="8" formatCode="0.0%">
                  <c:v>3.81961617607951E-2</c:v>
                </c:pt>
              </c:numCache>
            </c:numRef>
          </c:val>
          <c:extLst>
            <c:ext xmlns:c16="http://schemas.microsoft.com/office/drawing/2014/chart" uri="{C3380CC4-5D6E-409C-BE32-E72D297353CC}">
              <c16:uniqueId val="{00000001-0397-674B-BE75-D5AA37AF47BA}"/>
            </c:ext>
          </c:extLst>
        </c:ser>
        <c:ser>
          <c:idx val="2"/>
          <c:order val="2"/>
          <c:tx>
            <c:strRef>
              <c:f>'Income Statement'!$C$61</c:f>
              <c:strCache>
                <c:ptCount val="1"/>
                <c:pt idx="0">
                  <c:v>Operating expenses</c:v>
                </c:pt>
              </c:strCache>
            </c:strRef>
          </c:tx>
          <c:spPr>
            <a:solidFill>
              <a:schemeClr val="accent3"/>
            </a:solidFill>
            <a:ln>
              <a:noFill/>
            </a:ln>
            <a:effectLst/>
          </c:spPr>
          <c:invertIfNegative val="0"/>
          <c:cat>
            <c:strRef>
              <c:f>'Income Statement'!$D$58:$L$58</c:f>
              <c:strCache>
                <c:ptCount val="9"/>
                <c:pt idx="0">
                  <c:v>2022</c:v>
                </c:pt>
                <c:pt idx="1">
                  <c:v>2023</c:v>
                </c:pt>
                <c:pt idx="2">
                  <c:v>2024</c:v>
                </c:pt>
                <c:pt idx="3">
                  <c:v>2025</c:v>
                </c:pt>
                <c:pt idx="4">
                  <c:v>2026</c:v>
                </c:pt>
                <c:pt idx="5">
                  <c:v>2027</c:v>
                </c:pt>
                <c:pt idx="6">
                  <c:v>2028</c:v>
                </c:pt>
                <c:pt idx="7">
                  <c:v>2029</c:v>
                </c:pt>
                <c:pt idx="8">
                  <c:v>CAGR</c:v>
                </c:pt>
              </c:strCache>
            </c:strRef>
          </c:cat>
          <c:val>
            <c:numRef>
              <c:f>'Income Statement'!$D$61:$L$61</c:f>
              <c:numCache>
                <c:formatCode>#,##0_);\(#,##0\)</c:formatCode>
                <c:ptCount val="9"/>
                <c:pt idx="0">
                  <c:v>14095</c:v>
                </c:pt>
                <c:pt idx="1">
                  <c:v>15923</c:v>
                </c:pt>
                <c:pt idx="2">
                  <c:v>18745</c:v>
                </c:pt>
                <c:pt idx="3">
                  <c:v>17202.62330288703</c:v>
                </c:pt>
                <c:pt idx="4">
                  <c:v>17125.086882830856</c:v>
                </c:pt>
                <c:pt idx="5">
                  <c:v>17715.428726972401</c:v>
                </c:pt>
                <c:pt idx="6">
                  <c:v>18234.744457186152</c:v>
                </c:pt>
                <c:pt idx="7">
                  <c:v>18964.134235473601</c:v>
                </c:pt>
                <c:pt idx="8" formatCode="0.0%">
                  <c:v>4.3301197327975327E-2</c:v>
                </c:pt>
              </c:numCache>
            </c:numRef>
          </c:val>
          <c:extLst>
            <c:ext xmlns:c16="http://schemas.microsoft.com/office/drawing/2014/chart" uri="{C3380CC4-5D6E-409C-BE32-E72D297353CC}">
              <c16:uniqueId val="{00000002-0397-674B-BE75-D5AA37AF47BA}"/>
            </c:ext>
          </c:extLst>
        </c:ser>
        <c:ser>
          <c:idx val="3"/>
          <c:order val="3"/>
          <c:tx>
            <c:strRef>
              <c:f>'Income Statement'!$C$62</c:f>
              <c:strCache>
                <c:ptCount val="1"/>
                <c:pt idx="0">
                  <c:v>Ebit</c:v>
                </c:pt>
              </c:strCache>
            </c:strRef>
          </c:tx>
          <c:spPr>
            <a:solidFill>
              <a:schemeClr val="accent4"/>
            </a:solidFill>
            <a:ln>
              <a:noFill/>
            </a:ln>
            <a:effectLst/>
          </c:spPr>
          <c:invertIfNegative val="0"/>
          <c:cat>
            <c:strRef>
              <c:f>'Income Statement'!$D$58:$L$58</c:f>
              <c:strCache>
                <c:ptCount val="9"/>
                <c:pt idx="0">
                  <c:v>2022</c:v>
                </c:pt>
                <c:pt idx="1">
                  <c:v>2023</c:v>
                </c:pt>
                <c:pt idx="2">
                  <c:v>2024</c:v>
                </c:pt>
                <c:pt idx="3">
                  <c:v>2025</c:v>
                </c:pt>
                <c:pt idx="4">
                  <c:v>2026</c:v>
                </c:pt>
                <c:pt idx="5">
                  <c:v>2027</c:v>
                </c:pt>
                <c:pt idx="6">
                  <c:v>2028</c:v>
                </c:pt>
                <c:pt idx="7">
                  <c:v>2029</c:v>
                </c:pt>
                <c:pt idx="8">
                  <c:v>CAGR</c:v>
                </c:pt>
              </c:strCache>
            </c:strRef>
          </c:cat>
          <c:val>
            <c:numRef>
              <c:f>'Income Statement'!$D$62:$L$62</c:f>
              <c:numCache>
                <c:formatCode>#,##0_);\(#,##0\)</c:formatCode>
                <c:ptCount val="9"/>
                <c:pt idx="0">
                  <c:v>11686</c:v>
                </c:pt>
                <c:pt idx="1">
                  <c:v>12952</c:v>
                </c:pt>
                <c:pt idx="2">
                  <c:v>13086</c:v>
                </c:pt>
                <c:pt idx="3">
                  <c:v>12310.21835882001</c:v>
                </c:pt>
                <c:pt idx="4">
                  <c:v>14004.067312254103</c:v>
                </c:pt>
                <c:pt idx="5">
                  <c:v>14600.476127060298</c:v>
                </c:pt>
                <c:pt idx="6">
                  <c:v>16009.264533618867</c:v>
                </c:pt>
                <c:pt idx="7">
                  <c:v>16922.859889536685</c:v>
                </c:pt>
                <c:pt idx="8" formatCode="0.0%">
                  <c:v>5.4320264256705997E-2</c:v>
                </c:pt>
              </c:numCache>
            </c:numRef>
          </c:val>
          <c:extLst>
            <c:ext xmlns:c16="http://schemas.microsoft.com/office/drawing/2014/chart" uri="{C3380CC4-5D6E-409C-BE32-E72D297353CC}">
              <c16:uniqueId val="{00000003-0397-674B-BE75-D5AA37AF47BA}"/>
            </c:ext>
          </c:extLst>
        </c:ser>
        <c:ser>
          <c:idx val="4"/>
          <c:order val="4"/>
          <c:tx>
            <c:strRef>
              <c:f>'Income Statement'!$C$63</c:f>
              <c:strCache>
                <c:ptCount val="1"/>
                <c:pt idx="0">
                  <c:v>Net income</c:v>
                </c:pt>
              </c:strCache>
            </c:strRef>
          </c:tx>
          <c:spPr>
            <a:solidFill>
              <a:schemeClr val="accent5"/>
            </a:solidFill>
            <a:ln>
              <a:noFill/>
            </a:ln>
            <a:effectLst/>
          </c:spPr>
          <c:invertIfNegative val="0"/>
          <c:cat>
            <c:strRef>
              <c:f>'Income Statement'!$D$58:$L$58</c:f>
              <c:strCache>
                <c:ptCount val="9"/>
                <c:pt idx="0">
                  <c:v>2022</c:v>
                </c:pt>
                <c:pt idx="1">
                  <c:v>2023</c:v>
                </c:pt>
                <c:pt idx="2">
                  <c:v>2024</c:v>
                </c:pt>
                <c:pt idx="3">
                  <c:v>2025</c:v>
                </c:pt>
                <c:pt idx="4">
                  <c:v>2026</c:v>
                </c:pt>
                <c:pt idx="5">
                  <c:v>2027</c:v>
                </c:pt>
                <c:pt idx="6">
                  <c:v>2028</c:v>
                </c:pt>
                <c:pt idx="7">
                  <c:v>2029</c:v>
                </c:pt>
                <c:pt idx="8">
                  <c:v>CAGR</c:v>
                </c:pt>
              </c:strCache>
            </c:strRef>
          </c:cat>
          <c:val>
            <c:numRef>
              <c:f>'Income Statement'!$D$63:$L$63</c:f>
              <c:numCache>
                <c:formatCode>#,##0_);\(#,##0\)</c:formatCode>
                <c:ptCount val="9"/>
                <c:pt idx="0">
                  <c:v>9542</c:v>
                </c:pt>
                <c:pt idx="1">
                  <c:v>10714</c:v>
                </c:pt>
                <c:pt idx="2">
                  <c:v>10631</c:v>
                </c:pt>
                <c:pt idx="3">
                  <c:v>10005.691831199318</c:v>
                </c:pt>
                <c:pt idx="4">
                  <c:v>11384.096042197307</c:v>
                </c:pt>
                <c:pt idx="5">
                  <c:v>11869.435906851988</c:v>
                </c:pt>
                <c:pt idx="6">
                  <c:v>13015.866270709714</c:v>
                </c:pt>
                <c:pt idx="7">
                  <c:v>13759.323167024007</c:v>
                </c:pt>
                <c:pt idx="8" formatCode="0.0%">
                  <c:v>5.3678787485646362E-2</c:v>
                </c:pt>
              </c:numCache>
            </c:numRef>
          </c:val>
          <c:extLst>
            <c:ext xmlns:c16="http://schemas.microsoft.com/office/drawing/2014/chart" uri="{C3380CC4-5D6E-409C-BE32-E72D297353CC}">
              <c16:uniqueId val="{00000004-0397-674B-BE75-D5AA37AF47BA}"/>
            </c:ext>
          </c:extLst>
        </c:ser>
        <c:ser>
          <c:idx val="5"/>
          <c:order val="5"/>
          <c:tx>
            <c:strRef>
              <c:f>'Income Statement'!$C$64</c:f>
              <c:strCache>
                <c:ptCount val="1"/>
                <c:pt idx="0">
                  <c:v>EPS  </c:v>
                </c:pt>
              </c:strCache>
            </c:strRef>
          </c:tx>
          <c:spPr>
            <a:solidFill>
              <a:schemeClr val="accent6"/>
            </a:solidFill>
            <a:ln>
              <a:noFill/>
            </a:ln>
            <a:effectLst/>
          </c:spPr>
          <c:invertIfNegative val="0"/>
          <c:cat>
            <c:strRef>
              <c:f>'Income Statement'!$D$58:$L$58</c:f>
              <c:strCache>
                <c:ptCount val="9"/>
                <c:pt idx="0">
                  <c:v>2022</c:v>
                </c:pt>
                <c:pt idx="1">
                  <c:v>2023</c:v>
                </c:pt>
                <c:pt idx="2">
                  <c:v>2024</c:v>
                </c:pt>
                <c:pt idx="3">
                  <c:v>2025</c:v>
                </c:pt>
                <c:pt idx="4">
                  <c:v>2026</c:v>
                </c:pt>
                <c:pt idx="5">
                  <c:v>2027</c:v>
                </c:pt>
                <c:pt idx="6">
                  <c:v>2028</c:v>
                </c:pt>
                <c:pt idx="7">
                  <c:v>2029</c:v>
                </c:pt>
                <c:pt idx="8">
                  <c:v>CAGR</c:v>
                </c:pt>
              </c:strCache>
            </c:strRef>
          </c:cat>
          <c:val>
            <c:numRef>
              <c:f>'Income Statement'!$D$64:$L$64</c:f>
              <c:numCache>
                <c:formatCode>0.00</c:formatCode>
                <c:ptCount val="9"/>
                <c:pt idx="0">
                  <c:v>2.1935632183908047</c:v>
                </c:pt>
                <c:pt idx="1">
                  <c:v>2.4692325420603827</c:v>
                </c:pt>
                <c:pt idx="2">
                  <c:v>2.4608796296296296</c:v>
                </c:pt>
                <c:pt idx="3">
                  <c:v>2.3161323683331756</c:v>
                </c:pt>
                <c:pt idx="4">
                  <c:v>2.6352074171753026</c:v>
                </c:pt>
                <c:pt idx="5">
                  <c:v>2.7475546080675897</c:v>
                </c:pt>
                <c:pt idx="6">
                  <c:v>3.0129320071087302</c:v>
                </c:pt>
                <c:pt idx="7">
                  <c:v>3.185028510885187</c:v>
                </c:pt>
                <c:pt idx="8" formatCode="0.0%">
                  <c:v>5.4721005991062555E-2</c:v>
                </c:pt>
              </c:numCache>
            </c:numRef>
          </c:val>
          <c:extLst>
            <c:ext xmlns:c16="http://schemas.microsoft.com/office/drawing/2014/chart" uri="{C3380CC4-5D6E-409C-BE32-E72D297353CC}">
              <c16:uniqueId val="{00000005-0397-674B-BE75-D5AA37AF47BA}"/>
            </c:ext>
          </c:extLst>
        </c:ser>
        <c:dLbls>
          <c:showLegendKey val="0"/>
          <c:showVal val="0"/>
          <c:showCatName val="0"/>
          <c:showSerName val="0"/>
          <c:showPercent val="0"/>
          <c:showBubbleSize val="0"/>
        </c:dLbls>
        <c:gapWidth val="219"/>
        <c:overlap val="-27"/>
        <c:axId val="41019808"/>
        <c:axId val="41502192"/>
      </c:barChart>
      <c:catAx>
        <c:axId val="41019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02192"/>
        <c:crosses val="autoZero"/>
        <c:auto val="1"/>
        <c:lblAlgn val="ctr"/>
        <c:lblOffset val="100"/>
        <c:noMultiLvlLbl val="0"/>
      </c:catAx>
      <c:valAx>
        <c:axId val="41502192"/>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19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'Income Statement'!$O$59</c:f>
              <c:strCache>
                <c:ptCount val="1"/>
                <c:pt idx="0">
                  <c:v>CAGR</c:v>
                </c:pt>
              </c:strCache>
            </c:strRef>
          </c:tx>
          <c:spPr>
            <a:solidFill>
              <a:schemeClr val="accent1"/>
            </a:solidFill>
            <a:ln>
              <a:noFill/>
            </a:ln>
            <a:effectLst/>
          </c:spPr>
          <c:invertIfNegative val="0"/>
          <c:cat>
            <c:strRef>
              <c:f>'Income Statement'!$N$60:$N$65</c:f>
              <c:strCache>
                <c:ptCount val="6"/>
                <c:pt idx="0">
                  <c:v>EPS</c:v>
                </c:pt>
                <c:pt idx="1">
                  <c:v>Net Income</c:v>
                </c:pt>
                <c:pt idx="2">
                  <c:v>EBIT</c:v>
                </c:pt>
                <c:pt idx="3">
                  <c:v>Operating expenses</c:v>
                </c:pt>
                <c:pt idx="4">
                  <c:v>Revenue</c:v>
                </c:pt>
                <c:pt idx="5">
                  <c:v>COGS</c:v>
                </c:pt>
              </c:strCache>
            </c:strRef>
          </c:cat>
          <c:val>
            <c:numRef>
              <c:f>'Income Statement'!$O$60:$O$65</c:f>
              <c:numCache>
                <c:formatCode>0.0%</c:formatCode>
                <c:ptCount val="6"/>
                <c:pt idx="0">
                  <c:v>5.5E-2</c:v>
                </c:pt>
                <c:pt idx="1">
                  <c:v>5.3999999999999999E-2</c:v>
                </c:pt>
                <c:pt idx="2">
                  <c:v>5.3999999999999999E-2</c:v>
                </c:pt>
                <c:pt idx="3">
                  <c:v>4.2999999999999997E-2</c:v>
                </c:pt>
                <c:pt idx="4">
                  <c:v>4.2999999999999997E-2</c:v>
                </c:pt>
                <c:pt idx="5">
                  <c:v>3.7999999999999999E-2</c:v>
                </c:pt>
              </c:numCache>
            </c:numRef>
          </c:val>
          <c:extLst>
            <c:ext xmlns:c16="http://schemas.microsoft.com/office/drawing/2014/chart" uri="{C3380CC4-5D6E-409C-BE32-E72D297353CC}">
              <c16:uniqueId val="{00000000-4B07-B145-B9CD-9B3AE680217F}"/>
            </c:ext>
          </c:extLst>
        </c:ser>
        <c:dLbls>
          <c:showLegendKey val="0"/>
          <c:showVal val="0"/>
          <c:showCatName val="0"/>
          <c:showSerName val="0"/>
          <c:showPercent val="0"/>
          <c:showBubbleSize val="0"/>
        </c:dLbls>
        <c:gapWidth val="219"/>
        <c:overlap val="-27"/>
        <c:axId val="150846512"/>
        <c:axId val="150620384"/>
      </c:barChart>
      <c:catAx>
        <c:axId val="15084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20384"/>
        <c:crosses val="autoZero"/>
        <c:auto val="1"/>
        <c:lblAlgn val="ctr"/>
        <c:lblOffset val="100"/>
        <c:noMultiLvlLbl val="0"/>
      </c:catAx>
      <c:valAx>
        <c:axId val="15062038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846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'Income Statement'!$O$59</c:f>
              <c:strCache>
                <c:ptCount val="1"/>
                <c:pt idx="0">
                  <c:v>CAGR</c:v>
                </c:pt>
              </c:strCache>
            </c:strRef>
          </c:tx>
          <c:spPr>
            <a:solidFill>
              <a:schemeClr val="accent1"/>
            </a:solidFill>
            <a:ln>
              <a:noFill/>
            </a:ln>
            <a:effectLst/>
          </c:spPr>
          <c:invertIfNegative val="0"/>
          <c:cat>
            <c:strRef>
              <c:f>'Income Statement'!$N$60:$N$65</c:f>
              <c:strCache>
                <c:ptCount val="6"/>
                <c:pt idx="0">
                  <c:v>EPS</c:v>
                </c:pt>
                <c:pt idx="1">
                  <c:v>Net Income</c:v>
                </c:pt>
                <c:pt idx="2">
                  <c:v>EBIT</c:v>
                </c:pt>
                <c:pt idx="3">
                  <c:v>Operating expenses</c:v>
                </c:pt>
                <c:pt idx="4">
                  <c:v>Revenue</c:v>
                </c:pt>
                <c:pt idx="5">
                  <c:v>COGS</c:v>
                </c:pt>
              </c:strCache>
            </c:strRef>
          </c:cat>
          <c:val>
            <c:numRef>
              <c:f>'Income Statement'!$O$60:$O$65</c:f>
              <c:numCache>
                <c:formatCode>0.0%</c:formatCode>
                <c:ptCount val="6"/>
                <c:pt idx="0">
                  <c:v>5.5E-2</c:v>
                </c:pt>
                <c:pt idx="1">
                  <c:v>5.3999999999999999E-2</c:v>
                </c:pt>
                <c:pt idx="2">
                  <c:v>5.3999999999999999E-2</c:v>
                </c:pt>
                <c:pt idx="3">
                  <c:v>4.2999999999999997E-2</c:v>
                </c:pt>
                <c:pt idx="4">
                  <c:v>4.2999999999999997E-2</c:v>
                </c:pt>
                <c:pt idx="5">
                  <c:v>3.7999999999999999E-2</c:v>
                </c:pt>
              </c:numCache>
            </c:numRef>
          </c:val>
          <c:extLst>
            <c:ext xmlns:c16="http://schemas.microsoft.com/office/drawing/2014/chart" uri="{C3380CC4-5D6E-409C-BE32-E72D297353CC}">
              <c16:uniqueId val="{00000000-022E-FD43-BE05-1F3A2C07ADA3}"/>
            </c:ext>
          </c:extLst>
        </c:ser>
        <c:dLbls>
          <c:showLegendKey val="0"/>
          <c:showVal val="0"/>
          <c:showCatName val="0"/>
          <c:showSerName val="0"/>
          <c:showPercent val="0"/>
          <c:showBubbleSize val="0"/>
        </c:dLbls>
        <c:gapWidth val="182"/>
        <c:axId val="1275555296"/>
        <c:axId val="45788320"/>
      </c:barChart>
      <c:catAx>
        <c:axId val="1275555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88320"/>
        <c:crosses val="autoZero"/>
        <c:auto val="1"/>
        <c:lblAlgn val="ctr"/>
        <c:lblOffset val="100"/>
        <c:noMultiLvlLbl val="0"/>
      </c:catAx>
      <c:valAx>
        <c:axId val="45788320"/>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555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'Income Statement'!$C$59</c:f>
              <c:strCache>
                <c:ptCount val="1"/>
                <c:pt idx="0">
                  <c:v>Revenue</c:v>
                </c:pt>
              </c:strCache>
            </c:strRef>
          </c:tx>
          <c:spPr>
            <a:solidFill>
              <a:schemeClr val="accent1"/>
            </a:solidFill>
            <a:ln>
              <a:noFill/>
            </a:ln>
            <a:effectLst/>
          </c:spPr>
          <c:invertIfNegative val="0"/>
          <c:cat>
            <c:numRef>
              <c:f>'Income Statement'!$D$58:$K$58</c:f>
              <c:numCache>
                <c:formatCode>General</c:formatCode>
                <c:ptCount val="8"/>
                <c:pt idx="0">
                  <c:v>2022</c:v>
                </c:pt>
                <c:pt idx="1">
                  <c:v>2023</c:v>
                </c:pt>
                <c:pt idx="2">
                  <c:v>2024</c:v>
                </c:pt>
                <c:pt idx="3">
                  <c:v>2025</c:v>
                </c:pt>
                <c:pt idx="4">
                  <c:v>2026</c:v>
                </c:pt>
                <c:pt idx="5">
                  <c:v>2027</c:v>
                </c:pt>
                <c:pt idx="6">
                  <c:v>2028</c:v>
                </c:pt>
                <c:pt idx="7">
                  <c:v>2029</c:v>
                </c:pt>
              </c:numCache>
            </c:numRef>
          </c:cat>
          <c:val>
            <c:numRef>
              <c:f>'Income Statement'!$D$59:$K$59</c:f>
              <c:numCache>
                <c:formatCode>#,##0_);\(#,##0\)</c:formatCode>
                <c:ptCount val="8"/>
                <c:pt idx="0">
                  <c:v>43004</c:v>
                </c:pt>
                <c:pt idx="1">
                  <c:v>45754</c:v>
                </c:pt>
                <c:pt idx="2">
                  <c:v>47061</c:v>
                </c:pt>
                <c:pt idx="3">
                  <c:v>48120</c:v>
                </c:pt>
                <c:pt idx="4">
                  <c:v>50650</c:v>
                </c:pt>
                <c:pt idx="5">
                  <c:v>53182.5</c:v>
                </c:pt>
                <c:pt idx="6">
                  <c:v>55575.712499999994</c:v>
                </c:pt>
                <c:pt idx="7">
                  <c:v>57798.740999999995</c:v>
                </c:pt>
              </c:numCache>
            </c:numRef>
          </c:val>
          <c:extLst>
            <c:ext xmlns:c16="http://schemas.microsoft.com/office/drawing/2014/chart" uri="{C3380CC4-5D6E-409C-BE32-E72D297353CC}">
              <c16:uniqueId val="{00000000-5293-AD46-87BD-52922F4D58FB}"/>
            </c:ext>
          </c:extLst>
        </c:ser>
        <c:ser>
          <c:idx val="1"/>
          <c:order val="1"/>
          <c:tx>
            <c:strRef>
              <c:f>'Income Statement'!$C$60</c:f>
              <c:strCache>
                <c:ptCount val="1"/>
                <c:pt idx="0">
                  <c:v>COGS</c:v>
                </c:pt>
              </c:strCache>
            </c:strRef>
          </c:tx>
          <c:spPr>
            <a:solidFill>
              <a:schemeClr val="accent2"/>
            </a:solidFill>
            <a:ln>
              <a:noFill/>
            </a:ln>
            <a:effectLst/>
          </c:spPr>
          <c:invertIfNegative val="0"/>
          <c:cat>
            <c:numRef>
              <c:f>'Income Statement'!$D$58:$K$58</c:f>
              <c:numCache>
                <c:formatCode>General</c:formatCode>
                <c:ptCount val="8"/>
                <c:pt idx="0">
                  <c:v>2022</c:v>
                </c:pt>
                <c:pt idx="1">
                  <c:v>2023</c:v>
                </c:pt>
                <c:pt idx="2">
                  <c:v>2024</c:v>
                </c:pt>
                <c:pt idx="3">
                  <c:v>2025</c:v>
                </c:pt>
                <c:pt idx="4">
                  <c:v>2026</c:v>
                </c:pt>
                <c:pt idx="5">
                  <c:v>2027</c:v>
                </c:pt>
                <c:pt idx="6">
                  <c:v>2028</c:v>
                </c:pt>
                <c:pt idx="7">
                  <c:v>2029</c:v>
                </c:pt>
              </c:numCache>
            </c:numRef>
          </c:cat>
          <c:val>
            <c:numRef>
              <c:f>'Income Statement'!$D$60:$K$60</c:f>
              <c:numCache>
                <c:formatCode>#,##0_);\(#,##0\)</c:formatCode>
                <c:ptCount val="8"/>
                <c:pt idx="0">
                  <c:v>16740</c:v>
                </c:pt>
                <c:pt idx="1">
                  <c:v>17392</c:v>
                </c:pt>
                <c:pt idx="2">
                  <c:v>17249</c:v>
                </c:pt>
                <c:pt idx="3">
                  <c:v>18840.149231848027</c:v>
                </c:pt>
                <c:pt idx="4">
                  <c:v>19324.205706423578</c:v>
                </c:pt>
                <c:pt idx="5">
                  <c:v>20024.503491744756</c:v>
                </c:pt>
                <c:pt idx="6">
                  <c:v>20925.606148873267</c:v>
                </c:pt>
                <c:pt idx="7">
                  <c:v>21762.6303948282</c:v>
                </c:pt>
              </c:numCache>
            </c:numRef>
          </c:val>
          <c:extLst>
            <c:ext xmlns:c16="http://schemas.microsoft.com/office/drawing/2014/chart" uri="{C3380CC4-5D6E-409C-BE32-E72D297353CC}">
              <c16:uniqueId val="{00000001-5293-AD46-87BD-52922F4D58FB}"/>
            </c:ext>
          </c:extLst>
        </c:ser>
        <c:ser>
          <c:idx val="2"/>
          <c:order val="2"/>
          <c:tx>
            <c:strRef>
              <c:f>'Income Statement'!$C$61</c:f>
              <c:strCache>
                <c:ptCount val="1"/>
                <c:pt idx="0">
                  <c:v>Operating expenses</c:v>
                </c:pt>
              </c:strCache>
            </c:strRef>
          </c:tx>
          <c:spPr>
            <a:solidFill>
              <a:schemeClr val="accent3"/>
            </a:solidFill>
            <a:ln>
              <a:noFill/>
            </a:ln>
            <a:effectLst/>
          </c:spPr>
          <c:invertIfNegative val="0"/>
          <c:cat>
            <c:numRef>
              <c:f>'Income Statement'!$D$58:$K$58</c:f>
              <c:numCache>
                <c:formatCode>General</c:formatCode>
                <c:ptCount val="8"/>
                <c:pt idx="0">
                  <c:v>2022</c:v>
                </c:pt>
                <c:pt idx="1">
                  <c:v>2023</c:v>
                </c:pt>
                <c:pt idx="2">
                  <c:v>2024</c:v>
                </c:pt>
                <c:pt idx="3">
                  <c:v>2025</c:v>
                </c:pt>
                <c:pt idx="4">
                  <c:v>2026</c:v>
                </c:pt>
                <c:pt idx="5">
                  <c:v>2027</c:v>
                </c:pt>
                <c:pt idx="6">
                  <c:v>2028</c:v>
                </c:pt>
                <c:pt idx="7">
                  <c:v>2029</c:v>
                </c:pt>
              </c:numCache>
            </c:numRef>
          </c:cat>
          <c:val>
            <c:numRef>
              <c:f>'Income Statement'!$D$61:$K$61</c:f>
              <c:numCache>
                <c:formatCode>#,##0_);\(#,##0\)</c:formatCode>
                <c:ptCount val="8"/>
                <c:pt idx="0">
                  <c:v>14095</c:v>
                </c:pt>
                <c:pt idx="1">
                  <c:v>15923</c:v>
                </c:pt>
                <c:pt idx="2">
                  <c:v>18745</c:v>
                </c:pt>
                <c:pt idx="3">
                  <c:v>17202.62330288703</c:v>
                </c:pt>
                <c:pt idx="4">
                  <c:v>17125.086882830856</c:v>
                </c:pt>
                <c:pt idx="5">
                  <c:v>17715.428726972401</c:v>
                </c:pt>
                <c:pt idx="6">
                  <c:v>18234.744457186152</c:v>
                </c:pt>
                <c:pt idx="7">
                  <c:v>18964.134235473601</c:v>
                </c:pt>
              </c:numCache>
            </c:numRef>
          </c:val>
          <c:extLst>
            <c:ext xmlns:c16="http://schemas.microsoft.com/office/drawing/2014/chart" uri="{C3380CC4-5D6E-409C-BE32-E72D297353CC}">
              <c16:uniqueId val="{00000002-5293-AD46-87BD-52922F4D58FB}"/>
            </c:ext>
          </c:extLst>
        </c:ser>
        <c:ser>
          <c:idx val="3"/>
          <c:order val="3"/>
          <c:tx>
            <c:strRef>
              <c:f>'Income Statement'!$C$62</c:f>
              <c:strCache>
                <c:ptCount val="1"/>
                <c:pt idx="0">
                  <c:v>Ebit</c:v>
                </c:pt>
              </c:strCache>
            </c:strRef>
          </c:tx>
          <c:spPr>
            <a:solidFill>
              <a:schemeClr val="accent4"/>
            </a:solidFill>
            <a:ln>
              <a:noFill/>
            </a:ln>
            <a:effectLst/>
          </c:spPr>
          <c:invertIfNegative val="0"/>
          <c:cat>
            <c:numRef>
              <c:f>'Income Statement'!$D$58:$K$58</c:f>
              <c:numCache>
                <c:formatCode>General</c:formatCode>
                <c:ptCount val="8"/>
                <c:pt idx="0">
                  <c:v>2022</c:v>
                </c:pt>
                <c:pt idx="1">
                  <c:v>2023</c:v>
                </c:pt>
                <c:pt idx="2">
                  <c:v>2024</c:v>
                </c:pt>
                <c:pt idx="3">
                  <c:v>2025</c:v>
                </c:pt>
                <c:pt idx="4">
                  <c:v>2026</c:v>
                </c:pt>
                <c:pt idx="5">
                  <c:v>2027</c:v>
                </c:pt>
                <c:pt idx="6">
                  <c:v>2028</c:v>
                </c:pt>
                <c:pt idx="7">
                  <c:v>2029</c:v>
                </c:pt>
              </c:numCache>
            </c:numRef>
          </c:cat>
          <c:val>
            <c:numRef>
              <c:f>'Income Statement'!$D$62:$K$62</c:f>
              <c:numCache>
                <c:formatCode>#,##0_);\(#,##0\)</c:formatCode>
                <c:ptCount val="8"/>
                <c:pt idx="0">
                  <c:v>11686</c:v>
                </c:pt>
                <c:pt idx="1">
                  <c:v>12952</c:v>
                </c:pt>
                <c:pt idx="2">
                  <c:v>13086</c:v>
                </c:pt>
                <c:pt idx="3">
                  <c:v>12310.21835882001</c:v>
                </c:pt>
                <c:pt idx="4">
                  <c:v>14004.067312254103</c:v>
                </c:pt>
                <c:pt idx="5">
                  <c:v>14600.476127060298</c:v>
                </c:pt>
                <c:pt idx="6">
                  <c:v>16009.264533618867</c:v>
                </c:pt>
                <c:pt idx="7">
                  <c:v>16922.859889536685</c:v>
                </c:pt>
              </c:numCache>
            </c:numRef>
          </c:val>
          <c:extLst>
            <c:ext xmlns:c16="http://schemas.microsoft.com/office/drawing/2014/chart" uri="{C3380CC4-5D6E-409C-BE32-E72D297353CC}">
              <c16:uniqueId val="{00000003-5293-AD46-87BD-52922F4D58FB}"/>
            </c:ext>
          </c:extLst>
        </c:ser>
        <c:ser>
          <c:idx val="4"/>
          <c:order val="4"/>
          <c:tx>
            <c:strRef>
              <c:f>'Income Statement'!$C$63</c:f>
              <c:strCache>
                <c:ptCount val="1"/>
                <c:pt idx="0">
                  <c:v>Net income</c:v>
                </c:pt>
              </c:strCache>
            </c:strRef>
          </c:tx>
          <c:spPr>
            <a:solidFill>
              <a:schemeClr val="accent5"/>
            </a:solidFill>
            <a:ln>
              <a:noFill/>
            </a:ln>
            <a:effectLst/>
          </c:spPr>
          <c:invertIfNegative val="0"/>
          <c:cat>
            <c:numRef>
              <c:f>'Income Statement'!$D$58:$K$58</c:f>
              <c:numCache>
                <c:formatCode>General</c:formatCode>
                <c:ptCount val="8"/>
                <c:pt idx="0">
                  <c:v>2022</c:v>
                </c:pt>
                <c:pt idx="1">
                  <c:v>2023</c:v>
                </c:pt>
                <c:pt idx="2">
                  <c:v>2024</c:v>
                </c:pt>
                <c:pt idx="3">
                  <c:v>2025</c:v>
                </c:pt>
                <c:pt idx="4">
                  <c:v>2026</c:v>
                </c:pt>
                <c:pt idx="5">
                  <c:v>2027</c:v>
                </c:pt>
                <c:pt idx="6">
                  <c:v>2028</c:v>
                </c:pt>
                <c:pt idx="7">
                  <c:v>2029</c:v>
                </c:pt>
              </c:numCache>
            </c:numRef>
          </c:cat>
          <c:val>
            <c:numRef>
              <c:f>'Income Statement'!$D$63:$K$63</c:f>
              <c:numCache>
                <c:formatCode>#,##0_);\(#,##0\)</c:formatCode>
                <c:ptCount val="8"/>
                <c:pt idx="0">
                  <c:v>9542</c:v>
                </c:pt>
                <c:pt idx="1">
                  <c:v>10714</c:v>
                </c:pt>
                <c:pt idx="2">
                  <c:v>10631</c:v>
                </c:pt>
                <c:pt idx="3">
                  <c:v>10005.691831199318</c:v>
                </c:pt>
                <c:pt idx="4">
                  <c:v>11384.096042197307</c:v>
                </c:pt>
                <c:pt idx="5">
                  <c:v>11869.435906851988</c:v>
                </c:pt>
                <c:pt idx="6">
                  <c:v>13015.866270709714</c:v>
                </c:pt>
                <c:pt idx="7">
                  <c:v>13759.323167024007</c:v>
                </c:pt>
              </c:numCache>
            </c:numRef>
          </c:val>
          <c:extLst>
            <c:ext xmlns:c16="http://schemas.microsoft.com/office/drawing/2014/chart" uri="{C3380CC4-5D6E-409C-BE32-E72D297353CC}">
              <c16:uniqueId val="{00000004-5293-AD46-87BD-52922F4D58FB}"/>
            </c:ext>
          </c:extLst>
        </c:ser>
        <c:dLbls>
          <c:showLegendKey val="0"/>
          <c:showVal val="0"/>
          <c:showCatName val="0"/>
          <c:showSerName val="0"/>
          <c:showPercent val="0"/>
          <c:showBubbleSize val="0"/>
        </c:dLbls>
        <c:gapWidth val="150"/>
        <c:overlap val="100"/>
        <c:axId val="112992208"/>
        <c:axId val="112993920"/>
      </c:barChart>
      <c:catAx>
        <c:axId val="11299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93920"/>
        <c:crosses val="autoZero"/>
        <c:auto val="1"/>
        <c:lblAlgn val="ctr"/>
        <c:lblOffset val="100"/>
        <c:noMultiLvlLbl val="0"/>
      </c:catAx>
      <c:valAx>
        <c:axId val="112993920"/>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92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Flow'!$C$58</c:f>
              <c:strCache>
                <c:ptCount val="1"/>
                <c:pt idx="0">
                  <c:v>Working Capital</c:v>
                </c:pt>
              </c:strCache>
            </c:strRef>
          </c:tx>
          <c:spPr>
            <a:ln w="28575" cap="rnd">
              <a:solidFill>
                <a:schemeClr val="accent1"/>
              </a:solidFill>
              <a:round/>
            </a:ln>
            <a:effectLst/>
          </c:spPr>
          <c:marker>
            <c:symbol val="none"/>
          </c:marker>
          <c:cat>
            <c:numRef>
              <c:f>'Cash Flow'!$D$57:$K$57</c:f>
              <c:numCache>
                <c:formatCode>General</c:formatCode>
                <c:ptCount val="8"/>
                <c:pt idx="0">
                  <c:v>2022</c:v>
                </c:pt>
                <c:pt idx="1">
                  <c:v>2023</c:v>
                </c:pt>
                <c:pt idx="2">
                  <c:v>2024</c:v>
                </c:pt>
                <c:pt idx="3">
                  <c:v>2025</c:v>
                </c:pt>
                <c:pt idx="4">
                  <c:v>2026</c:v>
                </c:pt>
                <c:pt idx="5">
                  <c:v>2027</c:v>
                </c:pt>
                <c:pt idx="6">
                  <c:v>2028</c:v>
                </c:pt>
                <c:pt idx="7">
                  <c:v>2029</c:v>
                </c:pt>
              </c:numCache>
            </c:numRef>
          </c:cat>
          <c:val>
            <c:numRef>
              <c:f>'Cash Flow'!$D$58:$K$58</c:f>
              <c:numCache>
                <c:formatCode>#,##0.0_);\(#,##0.0\)</c:formatCode>
                <c:ptCount val="8"/>
                <c:pt idx="0">
                  <c:v>-605</c:v>
                </c:pt>
                <c:pt idx="1">
                  <c:v>-846</c:v>
                </c:pt>
                <c:pt idx="2">
                  <c:v>-6234</c:v>
                </c:pt>
                <c:pt idx="3">
                  <c:v>-1683.965673201571</c:v>
                </c:pt>
                <c:pt idx="4">
                  <c:v>83.162582155326618</c:v>
                </c:pt>
                <c:pt idx="5">
                  <c:v>167.10337737118493</c:v>
                </c:pt>
                <c:pt idx="6">
                  <c:v>292.59597177784008</c:v>
                </c:pt>
                <c:pt idx="7">
                  <c:v>287.85525860922212</c:v>
                </c:pt>
              </c:numCache>
            </c:numRef>
          </c:val>
          <c:smooth val="0"/>
          <c:extLst>
            <c:ext xmlns:c16="http://schemas.microsoft.com/office/drawing/2014/chart" uri="{C3380CC4-5D6E-409C-BE32-E72D297353CC}">
              <c16:uniqueId val="{00000000-DC30-D04E-AA1A-AC3E4E143D85}"/>
            </c:ext>
          </c:extLst>
        </c:ser>
        <c:ser>
          <c:idx val="1"/>
          <c:order val="1"/>
          <c:tx>
            <c:strRef>
              <c:f>'Cash Flow'!$C$59</c:f>
              <c:strCache>
                <c:ptCount val="1"/>
                <c:pt idx="0">
                  <c:v>Cash flows from operating activities</c:v>
                </c:pt>
              </c:strCache>
            </c:strRef>
          </c:tx>
          <c:spPr>
            <a:ln w="28575" cap="rnd">
              <a:solidFill>
                <a:schemeClr val="accent2"/>
              </a:solidFill>
              <a:round/>
            </a:ln>
            <a:effectLst/>
          </c:spPr>
          <c:marker>
            <c:symbol val="none"/>
          </c:marker>
          <c:cat>
            <c:numRef>
              <c:f>'Cash Flow'!$D$57:$K$57</c:f>
              <c:numCache>
                <c:formatCode>General</c:formatCode>
                <c:ptCount val="8"/>
                <c:pt idx="0">
                  <c:v>2022</c:v>
                </c:pt>
                <c:pt idx="1">
                  <c:v>2023</c:v>
                </c:pt>
                <c:pt idx="2">
                  <c:v>2024</c:v>
                </c:pt>
                <c:pt idx="3">
                  <c:v>2025</c:v>
                </c:pt>
                <c:pt idx="4">
                  <c:v>2026</c:v>
                </c:pt>
                <c:pt idx="5">
                  <c:v>2027</c:v>
                </c:pt>
                <c:pt idx="6">
                  <c:v>2028</c:v>
                </c:pt>
                <c:pt idx="7">
                  <c:v>2029</c:v>
                </c:pt>
              </c:numCache>
            </c:numRef>
          </c:cat>
          <c:val>
            <c:numRef>
              <c:f>'Cash Flow'!$D$59:$K$59</c:f>
              <c:numCache>
                <c:formatCode>#,##0.0_);\(#,##0.0\)</c:formatCode>
                <c:ptCount val="8"/>
                <c:pt idx="0">
                  <c:v>11018</c:v>
                </c:pt>
                <c:pt idx="1">
                  <c:v>11599</c:v>
                </c:pt>
                <c:pt idx="2">
                  <c:v>6805</c:v>
                </c:pt>
                <c:pt idx="3">
                  <c:v>10066.6639373853</c:v>
                </c:pt>
                <c:pt idx="4">
                  <c:v>13327.588389909435</c:v>
                </c:pt>
                <c:pt idx="5">
                  <c:v>14015.076051924354</c:v>
                </c:pt>
                <c:pt idx="6">
                  <c:v>15407.43778784628</c:v>
                </c:pt>
                <c:pt idx="7">
                  <c:v>16268.199258589135</c:v>
                </c:pt>
              </c:numCache>
            </c:numRef>
          </c:val>
          <c:smooth val="0"/>
          <c:extLst>
            <c:ext xmlns:c16="http://schemas.microsoft.com/office/drawing/2014/chart" uri="{C3380CC4-5D6E-409C-BE32-E72D297353CC}">
              <c16:uniqueId val="{00000001-DC30-D04E-AA1A-AC3E4E143D85}"/>
            </c:ext>
          </c:extLst>
        </c:ser>
        <c:ser>
          <c:idx val="2"/>
          <c:order val="2"/>
          <c:tx>
            <c:strRef>
              <c:f>'Cash Flow'!$C$60</c:f>
              <c:strCache>
                <c:ptCount val="1"/>
                <c:pt idx="0">
                  <c:v>CAPEX</c:v>
                </c:pt>
              </c:strCache>
            </c:strRef>
          </c:tx>
          <c:spPr>
            <a:ln w="28575" cap="rnd">
              <a:solidFill>
                <a:schemeClr val="accent3"/>
              </a:solidFill>
              <a:round/>
            </a:ln>
            <a:effectLst/>
          </c:spPr>
          <c:marker>
            <c:symbol val="none"/>
          </c:marker>
          <c:cat>
            <c:numRef>
              <c:f>'Cash Flow'!$D$57:$K$57</c:f>
              <c:numCache>
                <c:formatCode>General</c:formatCode>
                <c:ptCount val="8"/>
                <c:pt idx="0">
                  <c:v>2022</c:v>
                </c:pt>
                <c:pt idx="1">
                  <c:v>2023</c:v>
                </c:pt>
                <c:pt idx="2">
                  <c:v>2024</c:v>
                </c:pt>
                <c:pt idx="3">
                  <c:v>2025</c:v>
                </c:pt>
                <c:pt idx="4">
                  <c:v>2026</c:v>
                </c:pt>
                <c:pt idx="5">
                  <c:v>2027</c:v>
                </c:pt>
                <c:pt idx="6">
                  <c:v>2028</c:v>
                </c:pt>
                <c:pt idx="7">
                  <c:v>2029</c:v>
                </c:pt>
              </c:numCache>
            </c:numRef>
          </c:cat>
          <c:val>
            <c:numRef>
              <c:f>'Cash Flow'!$D$60:$K$60</c:f>
              <c:numCache>
                <c:formatCode>#,##0.0_);\(#,##0.0\)</c:formatCode>
                <c:ptCount val="8"/>
                <c:pt idx="0">
                  <c:v>-1409</c:v>
                </c:pt>
                <c:pt idx="1">
                  <c:v>-1778</c:v>
                </c:pt>
                <c:pt idx="2">
                  <c:v>-2024</c:v>
                </c:pt>
                <c:pt idx="3">
                  <c:v>-2021.4254835213869</c:v>
                </c:pt>
                <c:pt idx="4">
                  <c:v>-2077.0557510465142</c:v>
                </c:pt>
                <c:pt idx="5">
                  <c:v>-2127.7260385988398</c:v>
                </c:pt>
                <c:pt idx="6">
                  <c:v>-2167.897997835787</c:v>
                </c:pt>
                <c:pt idx="7">
                  <c:v>-2196.8151767492186</c:v>
                </c:pt>
              </c:numCache>
            </c:numRef>
          </c:val>
          <c:smooth val="0"/>
          <c:extLst>
            <c:ext xmlns:c16="http://schemas.microsoft.com/office/drawing/2014/chart" uri="{C3380CC4-5D6E-409C-BE32-E72D297353CC}">
              <c16:uniqueId val="{00000002-DC30-D04E-AA1A-AC3E4E143D85}"/>
            </c:ext>
          </c:extLst>
        </c:ser>
        <c:ser>
          <c:idx val="3"/>
          <c:order val="3"/>
          <c:tx>
            <c:strRef>
              <c:f>'Cash Flow'!$C$61</c:f>
              <c:strCache>
                <c:ptCount val="1"/>
                <c:pt idx="0">
                  <c:v>Cash flows from investing activities</c:v>
                </c:pt>
              </c:strCache>
            </c:strRef>
          </c:tx>
          <c:spPr>
            <a:ln w="28575" cap="rnd">
              <a:solidFill>
                <a:schemeClr val="accent4"/>
              </a:solidFill>
              <a:round/>
            </a:ln>
            <a:effectLst/>
          </c:spPr>
          <c:marker>
            <c:symbol val="none"/>
          </c:marker>
          <c:cat>
            <c:numRef>
              <c:f>'Cash Flow'!$D$57:$K$57</c:f>
              <c:numCache>
                <c:formatCode>General</c:formatCode>
                <c:ptCount val="8"/>
                <c:pt idx="0">
                  <c:v>2022</c:v>
                </c:pt>
                <c:pt idx="1">
                  <c:v>2023</c:v>
                </c:pt>
                <c:pt idx="2">
                  <c:v>2024</c:v>
                </c:pt>
                <c:pt idx="3">
                  <c:v>2025</c:v>
                </c:pt>
                <c:pt idx="4">
                  <c:v>2026</c:v>
                </c:pt>
                <c:pt idx="5">
                  <c:v>2027</c:v>
                </c:pt>
                <c:pt idx="6">
                  <c:v>2028</c:v>
                </c:pt>
                <c:pt idx="7">
                  <c:v>2029</c:v>
                </c:pt>
              </c:numCache>
            </c:numRef>
          </c:cat>
          <c:val>
            <c:numRef>
              <c:f>'Cash Flow'!$D$61:$K$61</c:f>
              <c:numCache>
                <c:formatCode>#,##0.0_);\(#,##0.0\)</c:formatCode>
                <c:ptCount val="8"/>
                <c:pt idx="0">
                  <c:v>-763</c:v>
                </c:pt>
                <c:pt idx="1">
                  <c:v>-3349</c:v>
                </c:pt>
                <c:pt idx="2">
                  <c:v>2524</c:v>
                </c:pt>
                <c:pt idx="3">
                  <c:v>-285.42548352138692</c:v>
                </c:pt>
                <c:pt idx="4">
                  <c:v>-3705.0557510465142</c:v>
                </c:pt>
                <c:pt idx="5">
                  <c:v>-462.72603859883975</c:v>
                </c:pt>
                <c:pt idx="6">
                  <c:v>-431.89799783578701</c:v>
                </c:pt>
                <c:pt idx="7">
                  <c:v>-3824.8151767492182</c:v>
                </c:pt>
              </c:numCache>
            </c:numRef>
          </c:val>
          <c:smooth val="0"/>
          <c:extLst>
            <c:ext xmlns:c16="http://schemas.microsoft.com/office/drawing/2014/chart" uri="{C3380CC4-5D6E-409C-BE32-E72D297353CC}">
              <c16:uniqueId val="{00000003-DC30-D04E-AA1A-AC3E4E143D85}"/>
            </c:ext>
          </c:extLst>
        </c:ser>
        <c:ser>
          <c:idx val="4"/>
          <c:order val="4"/>
          <c:tx>
            <c:strRef>
              <c:f>'Cash Flow'!$C$62</c:f>
              <c:strCache>
                <c:ptCount val="1"/>
                <c:pt idx="0">
                  <c:v>Cash flows from financing activities</c:v>
                </c:pt>
              </c:strCache>
            </c:strRef>
          </c:tx>
          <c:spPr>
            <a:ln w="28575" cap="rnd">
              <a:solidFill>
                <a:schemeClr val="accent5"/>
              </a:solidFill>
              <a:round/>
            </a:ln>
            <a:effectLst/>
          </c:spPr>
          <c:marker>
            <c:symbol val="none"/>
          </c:marker>
          <c:cat>
            <c:numRef>
              <c:f>'Cash Flow'!$D$57:$K$57</c:f>
              <c:numCache>
                <c:formatCode>General</c:formatCode>
                <c:ptCount val="8"/>
                <c:pt idx="0">
                  <c:v>2022</c:v>
                </c:pt>
                <c:pt idx="1">
                  <c:v>2023</c:v>
                </c:pt>
                <c:pt idx="2">
                  <c:v>2024</c:v>
                </c:pt>
                <c:pt idx="3">
                  <c:v>2025</c:v>
                </c:pt>
                <c:pt idx="4">
                  <c:v>2026</c:v>
                </c:pt>
                <c:pt idx="5">
                  <c:v>2027</c:v>
                </c:pt>
                <c:pt idx="6">
                  <c:v>2028</c:v>
                </c:pt>
                <c:pt idx="7">
                  <c:v>2029</c:v>
                </c:pt>
              </c:numCache>
            </c:numRef>
          </c:cat>
          <c:val>
            <c:numRef>
              <c:f>'Cash Flow'!$D$62:$K$62</c:f>
              <c:numCache>
                <c:formatCode>#,##0.0_);\(#,##0.0\)</c:formatCode>
                <c:ptCount val="8"/>
                <c:pt idx="0">
                  <c:v>-10250</c:v>
                </c:pt>
                <c:pt idx="1">
                  <c:v>-8310</c:v>
                </c:pt>
                <c:pt idx="2">
                  <c:v>-6910</c:v>
                </c:pt>
                <c:pt idx="3">
                  <c:v>-8076.1626548454296</c:v>
                </c:pt>
                <c:pt idx="4">
                  <c:v>-10718.1</c:v>
                </c:pt>
                <c:pt idx="5">
                  <c:v>-9919.8566548045928</c:v>
                </c:pt>
                <c:pt idx="6">
                  <c:v>-10561.8</c:v>
                </c:pt>
                <c:pt idx="7">
                  <c:v>-11918.3</c:v>
                </c:pt>
              </c:numCache>
            </c:numRef>
          </c:val>
          <c:smooth val="0"/>
          <c:extLst>
            <c:ext xmlns:c16="http://schemas.microsoft.com/office/drawing/2014/chart" uri="{C3380CC4-5D6E-409C-BE32-E72D297353CC}">
              <c16:uniqueId val="{00000004-DC30-D04E-AA1A-AC3E4E143D85}"/>
            </c:ext>
          </c:extLst>
        </c:ser>
        <c:ser>
          <c:idx val="5"/>
          <c:order val="5"/>
          <c:tx>
            <c:strRef>
              <c:f>'Cash Flow'!$C$63</c:f>
              <c:strCache>
                <c:ptCount val="1"/>
                <c:pt idx="0">
                  <c:v>Total change in cash and cash equivalents</c:v>
                </c:pt>
              </c:strCache>
            </c:strRef>
          </c:tx>
          <c:spPr>
            <a:ln w="28575" cap="rnd">
              <a:solidFill>
                <a:schemeClr val="accent6"/>
              </a:solidFill>
              <a:round/>
            </a:ln>
            <a:effectLst/>
          </c:spPr>
          <c:marker>
            <c:symbol val="none"/>
          </c:marker>
          <c:cat>
            <c:numRef>
              <c:f>'Cash Flow'!$D$57:$K$57</c:f>
              <c:numCache>
                <c:formatCode>General</c:formatCode>
                <c:ptCount val="8"/>
                <c:pt idx="0">
                  <c:v>2022</c:v>
                </c:pt>
                <c:pt idx="1">
                  <c:v>2023</c:v>
                </c:pt>
                <c:pt idx="2">
                  <c:v>2024</c:v>
                </c:pt>
                <c:pt idx="3">
                  <c:v>2025</c:v>
                </c:pt>
                <c:pt idx="4">
                  <c:v>2026</c:v>
                </c:pt>
                <c:pt idx="5">
                  <c:v>2027</c:v>
                </c:pt>
                <c:pt idx="6">
                  <c:v>2028</c:v>
                </c:pt>
                <c:pt idx="7">
                  <c:v>2029</c:v>
                </c:pt>
              </c:numCache>
            </c:numRef>
          </c:cat>
          <c:val>
            <c:numRef>
              <c:f>'Cash Flow'!$D$63:$K$63</c:f>
              <c:numCache>
                <c:formatCode>#,##0.0_);\(#,##0.0\)</c:formatCode>
                <c:ptCount val="8"/>
                <c:pt idx="0">
                  <c:v>-200</c:v>
                </c:pt>
                <c:pt idx="1">
                  <c:v>-133</c:v>
                </c:pt>
                <c:pt idx="2">
                  <c:v>1796</c:v>
                </c:pt>
                <c:pt idx="3">
                  <c:v>1082.0757990184829</c:v>
                </c:pt>
                <c:pt idx="4">
                  <c:v>-1178.5602221676691</c:v>
                </c:pt>
                <c:pt idx="5">
                  <c:v>3009.4933585209219</c:v>
                </c:pt>
                <c:pt idx="6">
                  <c:v>3790.7308232154319</c:v>
                </c:pt>
                <c:pt idx="7">
                  <c:v>-97.924223096513742</c:v>
                </c:pt>
              </c:numCache>
            </c:numRef>
          </c:val>
          <c:smooth val="0"/>
          <c:extLst>
            <c:ext xmlns:c16="http://schemas.microsoft.com/office/drawing/2014/chart" uri="{C3380CC4-5D6E-409C-BE32-E72D297353CC}">
              <c16:uniqueId val="{00000005-DC30-D04E-AA1A-AC3E4E143D85}"/>
            </c:ext>
          </c:extLst>
        </c:ser>
        <c:dLbls>
          <c:showLegendKey val="0"/>
          <c:showVal val="0"/>
          <c:showCatName val="0"/>
          <c:showSerName val="0"/>
          <c:showPercent val="0"/>
          <c:showBubbleSize val="0"/>
        </c:dLbls>
        <c:smooth val="0"/>
        <c:axId val="46784144"/>
        <c:axId val="46955296"/>
      </c:lineChart>
      <c:catAx>
        <c:axId val="46784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55296"/>
        <c:crosses val="autoZero"/>
        <c:auto val="1"/>
        <c:lblAlgn val="ctr"/>
        <c:lblOffset val="100"/>
        <c:noMultiLvlLbl val="0"/>
      </c:catAx>
      <c:valAx>
        <c:axId val="46955296"/>
        <c:scaling>
          <c:orientation val="minMax"/>
        </c:scaling>
        <c:delete val="0"/>
        <c:axPos val="l"/>
        <c:majorGridlines>
          <c:spPr>
            <a:ln w="9525" cap="flat" cmpd="sng" algn="ctr">
              <a:solidFill>
                <a:schemeClr val="tx1">
                  <a:lumMod val="15000"/>
                  <a:lumOff val="85000"/>
                </a:schemeClr>
              </a:solidFill>
              <a:round/>
            </a:ln>
            <a:effectLst/>
          </c:spPr>
        </c:majorGridlines>
        <c:numFmt formatCode="#,##0.0_);\(#,##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84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'Cash Flow'!$C$58</c:f>
              <c:strCache>
                <c:ptCount val="1"/>
                <c:pt idx="0">
                  <c:v>Working Capital</c:v>
                </c:pt>
              </c:strCache>
            </c:strRef>
          </c:tx>
          <c:spPr>
            <a:solidFill>
              <a:schemeClr val="accent1"/>
            </a:solidFill>
            <a:ln>
              <a:noFill/>
            </a:ln>
            <a:effectLst/>
          </c:spPr>
          <c:cat>
            <c:numRef>
              <c:f>'Cash Flow'!$D$57:$K$57</c:f>
              <c:numCache>
                <c:formatCode>General</c:formatCode>
                <c:ptCount val="8"/>
                <c:pt idx="0">
                  <c:v>2022</c:v>
                </c:pt>
                <c:pt idx="1">
                  <c:v>2023</c:v>
                </c:pt>
                <c:pt idx="2">
                  <c:v>2024</c:v>
                </c:pt>
                <c:pt idx="3">
                  <c:v>2025</c:v>
                </c:pt>
                <c:pt idx="4">
                  <c:v>2026</c:v>
                </c:pt>
                <c:pt idx="5">
                  <c:v>2027</c:v>
                </c:pt>
                <c:pt idx="6">
                  <c:v>2028</c:v>
                </c:pt>
                <c:pt idx="7">
                  <c:v>2029</c:v>
                </c:pt>
              </c:numCache>
            </c:numRef>
          </c:cat>
          <c:val>
            <c:numRef>
              <c:f>'Cash Flow'!$D$58:$K$58</c:f>
              <c:numCache>
                <c:formatCode>#,##0.0_);\(#,##0.0\)</c:formatCode>
                <c:ptCount val="8"/>
                <c:pt idx="0">
                  <c:v>-605</c:v>
                </c:pt>
                <c:pt idx="1">
                  <c:v>-846</c:v>
                </c:pt>
                <c:pt idx="2">
                  <c:v>-6234</c:v>
                </c:pt>
                <c:pt idx="3">
                  <c:v>-1683.965673201571</c:v>
                </c:pt>
                <c:pt idx="4">
                  <c:v>83.162582155326618</c:v>
                </c:pt>
                <c:pt idx="5">
                  <c:v>167.10337737118493</c:v>
                </c:pt>
                <c:pt idx="6">
                  <c:v>292.59597177784008</c:v>
                </c:pt>
                <c:pt idx="7">
                  <c:v>287.85525860922212</c:v>
                </c:pt>
              </c:numCache>
            </c:numRef>
          </c:val>
          <c:extLst>
            <c:ext xmlns:c16="http://schemas.microsoft.com/office/drawing/2014/chart" uri="{C3380CC4-5D6E-409C-BE32-E72D297353CC}">
              <c16:uniqueId val="{00000000-4A5B-444B-87C1-0177FD411A4A}"/>
            </c:ext>
          </c:extLst>
        </c:ser>
        <c:ser>
          <c:idx val="1"/>
          <c:order val="1"/>
          <c:tx>
            <c:strRef>
              <c:f>'Cash Flow'!$C$59</c:f>
              <c:strCache>
                <c:ptCount val="1"/>
                <c:pt idx="0">
                  <c:v>Cash flows from operating activities</c:v>
                </c:pt>
              </c:strCache>
            </c:strRef>
          </c:tx>
          <c:spPr>
            <a:solidFill>
              <a:schemeClr val="accent2"/>
            </a:solidFill>
            <a:ln>
              <a:noFill/>
            </a:ln>
            <a:effectLst/>
          </c:spPr>
          <c:cat>
            <c:numRef>
              <c:f>'Cash Flow'!$D$57:$K$57</c:f>
              <c:numCache>
                <c:formatCode>General</c:formatCode>
                <c:ptCount val="8"/>
                <c:pt idx="0">
                  <c:v>2022</c:v>
                </c:pt>
                <c:pt idx="1">
                  <c:v>2023</c:v>
                </c:pt>
                <c:pt idx="2">
                  <c:v>2024</c:v>
                </c:pt>
                <c:pt idx="3">
                  <c:v>2025</c:v>
                </c:pt>
                <c:pt idx="4">
                  <c:v>2026</c:v>
                </c:pt>
                <c:pt idx="5">
                  <c:v>2027</c:v>
                </c:pt>
                <c:pt idx="6">
                  <c:v>2028</c:v>
                </c:pt>
                <c:pt idx="7">
                  <c:v>2029</c:v>
                </c:pt>
              </c:numCache>
            </c:numRef>
          </c:cat>
          <c:val>
            <c:numRef>
              <c:f>'Cash Flow'!$D$59:$K$59</c:f>
              <c:numCache>
                <c:formatCode>#,##0.0_);\(#,##0.0\)</c:formatCode>
                <c:ptCount val="8"/>
                <c:pt idx="0">
                  <c:v>11018</c:v>
                </c:pt>
                <c:pt idx="1">
                  <c:v>11599</c:v>
                </c:pt>
                <c:pt idx="2">
                  <c:v>6805</c:v>
                </c:pt>
                <c:pt idx="3">
                  <c:v>10066.6639373853</c:v>
                </c:pt>
                <c:pt idx="4">
                  <c:v>13327.588389909435</c:v>
                </c:pt>
                <c:pt idx="5">
                  <c:v>14015.076051924354</c:v>
                </c:pt>
                <c:pt idx="6">
                  <c:v>15407.43778784628</c:v>
                </c:pt>
                <c:pt idx="7">
                  <c:v>16268.199258589135</c:v>
                </c:pt>
              </c:numCache>
            </c:numRef>
          </c:val>
          <c:extLst>
            <c:ext xmlns:c16="http://schemas.microsoft.com/office/drawing/2014/chart" uri="{C3380CC4-5D6E-409C-BE32-E72D297353CC}">
              <c16:uniqueId val="{00000001-4A5B-444B-87C1-0177FD411A4A}"/>
            </c:ext>
          </c:extLst>
        </c:ser>
        <c:ser>
          <c:idx val="2"/>
          <c:order val="2"/>
          <c:tx>
            <c:strRef>
              <c:f>'Cash Flow'!$C$60</c:f>
              <c:strCache>
                <c:ptCount val="1"/>
                <c:pt idx="0">
                  <c:v>CAPEX</c:v>
                </c:pt>
              </c:strCache>
            </c:strRef>
          </c:tx>
          <c:spPr>
            <a:solidFill>
              <a:schemeClr val="accent3"/>
            </a:solidFill>
            <a:ln>
              <a:noFill/>
            </a:ln>
            <a:effectLst/>
          </c:spPr>
          <c:cat>
            <c:numRef>
              <c:f>'Cash Flow'!$D$57:$K$57</c:f>
              <c:numCache>
                <c:formatCode>General</c:formatCode>
                <c:ptCount val="8"/>
                <c:pt idx="0">
                  <c:v>2022</c:v>
                </c:pt>
                <c:pt idx="1">
                  <c:v>2023</c:v>
                </c:pt>
                <c:pt idx="2">
                  <c:v>2024</c:v>
                </c:pt>
                <c:pt idx="3">
                  <c:v>2025</c:v>
                </c:pt>
                <c:pt idx="4">
                  <c:v>2026</c:v>
                </c:pt>
                <c:pt idx="5">
                  <c:v>2027</c:v>
                </c:pt>
                <c:pt idx="6">
                  <c:v>2028</c:v>
                </c:pt>
                <c:pt idx="7">
                  <c:v>2029</c:v>
                </c:pt>
              </c:numCache>
            </c:numRef>
          </c:cat>
          <c:val>
            <c:numRef>
              <c:f>'Cash Flow'!$D$60:$K$60</c:f>
              <c:numCache>
                <c:formatCode>#,##0.0_);\(#,##0.0\)</c:formatCode>
                <c:ptCount val="8"/>
                <c:pt idx="0">
                  <c:v>-1409</c:v>
                </c:pt>
                <c:pt idx="1">
                  <c:v>-1778</c:v>
                </c:pt>
                <c:pt idx="2">
                  <c:v>-2024</c:v>
                </c:pt>
                <c:pt idx="3">
                  <c:v>-2021.4254835213869</c:v>
                </c:pt>
                <c:pt idx="4">
                  <c:v>-2077.0557510465142</c:v>
                </c:pt>
                <c:pt idx="5">
                  <c:v>-2127.7260385988398</c:v>
                </c:pt>
                <c:pt idx="6">
                  <c:v>-2167.897997835787</c:v>
                </c:pt>
                <c:pt idx="7">
                  <c:v>-2196.8151767492186</c:v>
                </c:pt>
              </c:numCache>
            </c:numRef>
          </c:val>
          <c:extLst>
            <c:ext xmlns:c16="http://schemas.microsoft.com/office/drawing/2014/chart" uri="{C3380CC4-5D6E-409C-BE32-E72D297353CC}">
              <c16:uniqueId val="{00000002-4A5B-444B-87C1-0177FD411A4A}"/>
            </c:ext>
          </c:extLst>
        </c:ser>
        <c:ser>
          <c:idx val="3"/>
          <c:order val="3"/>
          <c:tx>
            <c:strRef>
              <c:f>'Cash Flow'!$C$61</c:f>
              <c:strCache>
                <c:ptCount val="1"/>
                <c:pt idx="0">
                  <c:v>Cash flows from investing activities</c:v>
                </c:pt>
              </c:strCache>
            </c:strRef>
          </c:tx>
          <c:spPr>
            <a:solidFill>
              <a:schemeClr val="accent4"/>
            </a:solidFill>
            <a:ln>
              <a:noFill/>
            </a:ln>
            <a:effectLst/>
          </c:spPr>
          <c:cat>
            <c:numRef>
              <c:f>'Cash Flow'!$D$57:$K$57</c:f>
              <c:numCache>
                <c:formatCode>General</c:formatCode>
                <c:ptCount val="8"/>
                <c:pt idx="0">
                  <c:v>2022</c:v>
                </c:pt>
                <c:pt idx="1">
                  <c:v>2023</c:v>
                </c:pt>
                <c:pt idx="2">
                  <c:v>2024</c:v>
                </c:pt>
                <c:pt idx="3">
                  <c:v>2025</c:v>
                </c:pt>
                <c:pt idx="4">
                  <c:v>2026</c:v>
                </c:pt>
                <c:pt idx="5">
                  <c:v>2027</c:v>
                </c:pt>
                <c:pt idx="6">
                  <c:v>2028</c:v>
                </c:pt>
                <c:pt idx="7">
                  <c:v>2029</c:v>
                </c:pt>
              </c:numCache>
            </c:numRef>
          </c:cat>
          <c:val>
            <c:numRef>
              <c:f>'Cash Flow'!$D$61:$K$61</c:f>
              <c:numCache>
                <c:formatCode>#,##0.0_);\(#,##0.0\)</c:formatCode>
                <c:ptCount val="8"/>
                <c:pt idx="0">
                  <c:v>-763</c:v>
                </c:pt>
                <c:pt idx="1">
                  <c:v>-3349</c:v>
                </c:pt>
                <c:pt idx="2">
                  <c:v>2524</c:v>
                </c:pt>
                <c:pt idx="3">
                  <c:v>-285.42548352138692</c:v>
                </c:pt>
                <c:pt idx="4">
                  <c:v>-3705.0557510465142</c:v>
                </c:pt>
                <c:pt idx="5">
                  <c:v>-462.72603859883975</c:v>
                </c:pt>
                <c:pt idx="6">
                  <c:v>-431.89799783578701</c:v>
                </c:pt>
                <c:pt idx="7">
                  <c:v>-3824.8151767492182</c:v>
                </c:pt>
              </c:numCache>
            </c:numRef>
          </c:val>
          <c:extLst>
            <c:ext xmlns:c16="http://schemas.microsoft.com/office/drawing/2014/chart" uri="{C3380CC4-5D6E-409C-BE32-E72D297353CC}">
              <c16:uniqueId val="{00000003-4A5B-444B-87C1-0177FD411A4A}"/>
            </c:ext>
          </c:extLst>
        </c:ser>
        <c:ser>
          <c:idx val="4"/>
          <c:order val="4"/>
          <c:tx>
            <c:strRef>
              <c:f>'Cash Flow'!$C$62</c:f>
              <c:strCache>
                <c:ptCount val="1"/>
                <c:pt idx="0">
                  <c:v>Cash flows from financing activities</c:v>
                </c:pt>
              </c:strCache>
            </c:strRef>
          </c:tx>
          <c:spPr>
            <a:solidFill>
              <a:schemeClr val="accent5"/>
            </a:solidFill>
            <a:ln>
              <a:noFill/>
            </a:ln>
            <a:effectLst/>
          </c:spPr>
          <c:cat>
            <c:numRef>
              <c:f>'Cash Flow'!$D$57:$K$57</c:f>
              <c:numCache>
                <c:formatCode>General</c:formatCode>
                <c:ptCount val="8"/>
                <c:pt idx="0">
                  <c:v>2022</c:v>
                </c:pt>
                <c:pt idx="1">
                  <c:v>2023</c:v>
                </c:pt>
                <c:pt idx="2">
                  <c:v>2024</c:v>
                </c:pt>
                <c:pt idx="3">
                  <c:v>2025</c:v>
                </c:pt>
                <c:pt idx="4">
                  <c:v>2026</c:v>
                </c:pt>
                <c:pt idx="5">
                  <c:v>2027</c:v>
                </c:pt>
                <c:pt idx="6">
                  <c:v>2028</c:v>
                </c:pt>
                <c:pt idx="7">
                  <c:v>2029</c:v>
                </c:pt>
              </c:numCache>
            </c:numRef>
          </c:cat>
          <c:val>
            <c:numRef>
              <c:f>'Cash Flow'!$D$62:$K$62</c:f>
              <c:numCache>
                <c:formatCode>#,##0.0_);\(#,##0.0\)</c:formatCode>
                <c:ptCount val="8"/>
                <c:pt idx="0">
                  <c:v>-10250</c:v>
                </c:pt>
                <c:pt idx="1">
                  <c:v>-8310</c:v>
                </c:pt>
                <c:pt idx="2">
                  <c:v>-6910</c:v>
                </c:pt>
                <c:pt idx="3">
                  <c:v>-8076.1626548454296</c:v>
                </c:pt>
                <c:pt idx="4">
                  <c:v>-10718.1</c:v>
                </c:pt>
                <c:pt idx="5">
                  <c:v>-9919.8566548045928</c:v>
                </c:pt>
                <c:pt idx="6">
                  <c:v>-10561.8</c:v>
                </c:pt>
                <c:pt idx="7">
                  <c:v>-11918.3</c:v>
                </c:pt>
              </c:numCache>
            </c:numRef>
          </c:val>
          <c:extLst>
            <c:ext xmlns:c16="http://schemas.microsoft.com/office/drawing/2014/chart" uri="{C3380CC4-5D6E-409C-BE32-E72D297353CC}">
              <c16:uniqueId val="{00000004-4A5B-444B-87C1-0177FD411A4A}"/>
            </c:ext>
          </c:extLst>
        </c:ser>
        <c:ser>
          <c:idx val="5"/>
          <c:order val="5"/>
          <c:tx>
            <c:strRef>
              <c:f>'Cash Flow'!$C$63</c:f>
              <c:strCache>
                <c:ptCount val="1"/>
                <c:pt idx="0">
                  <c:v>Total change in cash and cash equivalents</c:v>
                </c:pt>
              </c:strCache>
            </c:strRef>
          </c:tx>
          <c:spPr>
            <a:solidFill>
              <a:schemeClr val="accent6"/>
            </a:solidFill>
            <a:ln>
              <a:noFill/>
            </a:ln>
            <a:effectLst/>
          </c:spPr>
          <c:cat>
            <c:numRef>
              <c:f>'Cash Flow'!$D$57:$K$57</c:f>
              <c:numCache>
                <c:formatCode>General</c:formatCode>
                <c:ptCount val="8"/>
                <c:pt idx="0">
                  <c:v>2022</c:v>
                </c:pt>
                <c:pt idx="1">
                  <c:v>2023</c:v>
                </c:pt>
                <c:pt idx="2">
                  <c:v>2024</c:v>
                </c:pt>
                <c:pt idx="3">
                  <c:v>2025</c:v>
                </c:pt>
                <c:pt idx="4">
                  <c:v>2026</c:v>
                </c:pt>
                <c:pt idx="5">
                  <c:v>2027</c:v>
                </c:pt>
                <c:pt idx="6">
                  <c:v>2028</c:v>
                </c:pt>
                <c:pt idx="7">
                  <c:v>2029</c:v>
                </c:pt>
              </c:numCache>
            </c:numRef>
          </c:cat>
          <c:val>
            <c:numRef>
              <c:f>'Cash Flow'!$D$63:$K$63</c:f>
              <c:numCache>
                <c:formatCode>#,##0.0_);\(#,##0.0\)</c:formatCode>
                <c:ptCount val="8"/>
                <c:pt idx="0">
                  <c:v>-200</c:v>
                </c:pt>
                <c:pt idx="1">
                  <c:v>-133</c:v>
                </c:pt>
                <c:pt idx="2">
                  <c:v>1796</c:v>
                </c:pt>
                <c:pt idx="3">
                  <c:v>1082.0757990184829</c:v>
                </c:pt>
                <c:pt idx="4">
                  <c:v>-1178.5602221676691</c:v>
                </c:pt>
                <c:pt idx="5">
                  <c:v>3009.4933585209219</c:v>
                </c:pt>
                <c:pt idx="6">
                  <c:v>3790.7308232154319</c:v>
                </c:pt>
                <c:pt idx="7">
                  <c:v>-97.924223096513742</c:v>
                </c:pt>
              </c:numCache>
            </c:numRef>
          </c:val>
          <c:extLst>
            <c:ext xmlns:c16="http://schemas.microsoft.com/office/drawing/2014/chart" uri="{C3380CC4-5D6E-409C-BE32-E72D297353CC}">
              <c16:uniqueId val="{00000005-4A5B-444B-87C1-0177FD411A4A}"/>
            </c:ext>
          </c:extLst>
        </c:ser>
        <c:dLbls>
          <c:showLegendKey val="0"/>
          <c:showVal val="0"/>
          <c:showCatName val="0"/>
          <c:showSerName val="0"/>
          <c:showPercent val="0"/>
          <c:showBubbleSize val="0"/>
        </c:dLbls>
        <c:axId val="29543296"/>
        <c:axId val="24482864"/>
      </c:areaChart>
      <c:catAx>
        <c:axId val="29543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82864"/>
        <c:crosses val="autoZero"/>
        <c:auto val="1"/>
        <c:lblAlgn val="ctr"/>
        <c:lblOffset val="100"/>
        <c:noMultiLvlLbl val="0"/>
      </c:catAx>
      <c:valAx>
        <c:axId val="24482864"/>
        <c:scaling>
          <c:orientation val="minMax"/>
        </c:scaling>
        <c:delete val="0"/>
        <c:axPos val="l"/>
        <c:majorGridlines>
          <c:spPr>
            <a:ln w="9525" cap="flat" cmpd="sng" algn="ctr">
              <a:solidFill>
                <a:schemeClr val="tx1">
                  <a:lumMod val="15000"/>
                  <a:lumOff val="85000"/>
                </a:schemeClr>
              </a:solidFill>
              <a:round/>
            </a:ln>
            <a:effectLst/>
          </c:spPr>
        </c:majorGridlines>
        <c:numFmt formatCode="#,##0.0_);\(#,##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4329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noFill/>
            <a:ln>
              <a:noFill/>
            </a:ln>
            <a:effectLst/>
          </c:spPr>
          <c:invertIfNegative val="0"/>
          <c:dLbls>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field'!$A$15:$A$19</c:f>
              <c:strCache>
                <c:ptCount val="5"/>
                <c:pt idx="0">
                  <c:v>DCF Perpetuity</c:v>
                </c:pt>
                <c:pt idx="1">
                  <c:v>DCF EBITDA</c:v>
                </c:pt>
                <c:pt idx="2">
                  <c:v>Comps Group 2</c:v>
                </c:pt>
                <c:pt idx="3">
                  <c:v>Comps Group 1</c:v>
                </c:pt>
                <c:pt idx="4">
                  <c:v>52-Week High / Low</c:v>
                </c:pt>
              </c:strCache>
            </c:strRef>
          </c:cat>
          <c:val>
            <c:numRef>
              <c:f>'Football field'!$B$15:$B$19</c:f>
              <c:numCache>
                <c:formatCode>"$"#,##0.00_);\("$"#,##0.00\)</c:formatCode>
                <c:ptCount val="5"/>
                <c:pt idx="0" formatCode="&quot;$&quot;#,##0.00_);[Red]\(&quot;$&quot;#,##0.00\)">
                  <c:v>60.44</c:v>
                </c:pt>
                <c:pt idx="1">
                  <c:v>31.42</c:v>
                </c:pt>
                <c:pt idx="2">
                  <c:v>18.380129788346647</c:v>
                </c:pt>
                <c:pt idx="3" formatCode="&quot;$&quot;#,##0.00_);[Red]\(&quot;$&quot;#,##0.00\)">
                  <c:v>30.313350631177006</c:v>
                </c:pt>
                <c:pt idx="4" formatCode="&quot;$&quot;#,##0.00_);[Red]\(&quot;$&quot;#,##0.00\)">
                  <c:v>60.62</c:v>
                </c:pt>
              </c:numCache>
            </c:numRef>
          </c:val>
          <c:extLst>
            <c:ext xmlns:c16="http://schemas.microsoft.com/office/drawing/2014/chart" uri="{C3380CC4-5D6E-409C-BE32-E72D297353CC}">
              <c16:uniqueId val="{00000000-ED7A-46BF-803B-4C65AFC751A0}"/>
            </c:ext>
          </c:extLst>
        </c:ser>
        <c:ser>
          <c:idx val="1"/>
          <c:order val="1"/>
          <c:spPr>
            <a:solidFill>
              <a:srgbClr val="FF0000"/>
            </a:solidFill>
            <a:ln>
              <a:noFill/>
            </a:ln>
            <a:effectLst/>
          </c:spPr>
          <c:invertIfNegative val="0"/>
          <c:cat>
            <c:strRef>
              <c:f>'Football field'!$A$15:$A$19</c:f>
              <c:strCache>
                <c:ptCount val="5"/>
                <c:pt idx="0">
                  <c:v>DCF Perpetuity</c:v>
                </c:pt>
                <c:pt idx="1">
                  <c:v>DCF EBITDA</c:v>
                </c:pt>
                <c:pt idx="2">
                  <c:v>Comps Group 2</c:v>
                </c:pt>
                <c:pt idx="3">
                  <c:v>Comps Group 1</c:v>
                </c:pt>
                <c:pt idx="4">
                  <c:v>52-Week High / Low</c:v>
                </c:pt>
              </c:strCache>
            </c:strRef>
          </c:cat>
          <c:val>
            <c:numRef>
              <c:f>'Football field'!$C$15:$C$19</c:f>
              <c:numCache>
                <c:formatCode>"$"#,##0.00_);[Red]\("$"#,##0.00\)</c:formatCode>
                <c:ptCount val="5"/>
                <c:pt idx="0">
                  <c:v>57.56</c:v>
                </c:pt>
                <c:pt idx="1">
                  <c:v>52.730000000000004</c:v>
                </c:pt>
                <c:pt idx="2">
                  <c:v>15.836039945092022</c:v>
                </c:pt>
                <c:pt idx="3">
                  <c:v>36.683420948934739</c:v>
                </c:pt>
                <c:pt idx="4">
                  <c:v>13.759999999999998</c:v>
                </c:pt>
              </c:numCache>
            </c:numRef>
          </c:val>
          <c:extLst>
            <c:ext xmlns:c16="http://schemas.microsoft.com/office/drawing/2014/chart" uri="{C3380CC4-5D6E-409C-BE32-E72D297353CC}">
              <c16:uniqueId val="{00000001-ED7A-46BF-803B-4C65AFC751A0}"/>
            </c:ext>
          </c:extLst>
        </c:ser>
        <c:ser>
          <c:idx val="2"/>
          <c:order val="2"/>
          <c:spPr>
            <a:noFill/>
            <a:ln>
              <a:noFill/>
            </a:ln>
            <a:effectLst/>
          </c:spPr>
          <c:invertIfNegative val="0"/>
          <c:dLbls>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field'!$A$15:$A$19</c:f>
              <c:strCache>
                <c:ptCount val="5"/>
                <c:pt idx="0">
                  <c:v>DCF Perpetuity</c:v>
                </c:pt>
                <c:pt idx="1">
                  <c:v>DCF EBITDA</c:v>
                </c:pt>
                <c:pt idx="2">
                  <c:v>Comps Group 2</c:v>
                </c:pt>
                <c:pt idx="3">
                  <c:v>Comps Group 1</c:v>
                </c:pt>
                <c:pt idx="4">
                  <c:v>52-Week High / Low</c:v>
                </c:pt>
              </c:strCache>
            </c:strRef>
          </c:cat>
          <c:val>
            <c:numRef>
              <c:f>'Football field'!$D$15:$D$19</c:f>
              <c:numCache>
                <c:formatCode>"$"#,##0.00_);\("$"#,##0.00\)</c:formatCode>
                <c:ptCount val="5"/>
                <c:pt idx="0" formatCode="&quot;$&quot;#,##0.00_);[Red]\(&quot;$&quot;#,##0.00\)">
                  <c:v>118</c:v>
                </c:pt>
                <c:pt idx="1">
                  <c:v>84.15</c:v>
                </c:pt>
                <c:pt idx="2">
                  <c:v>34.216169733438669</c:v>
                </c:pt>
                <c:pt idx="3" formatCode="&quot;$&quot;#,##0.00_);[Red]\(&quot;$&quot;#,##0.00\)">
                  <c:v>66.996771580111741</c:v>
                </c:pt>
                <c:pt idx="4" formatCode="&quot;$&quot;#,##0.00_);[Red]\(&quot;$&quot;#,##0.00\)">
                  <c:v>74.38</c:v>
                </c:pt>
              </c:numCache>
            </c:numRef>
          </c:val>
          <c:extLst>
            <c:ext xmlns:c16="http://schemas.microsoft.com/office/drawing/2014/chart" uri="{C3380CC4-5D6E-409C-BE32-E72D297353CC}">
              <c16:uniqueId val="{00000002-ED7A-46BF-803B-4C65AFC751A0}"/>
            </c:ext>
          </c:extLst>
        </c:ser>
        <c:dLbls>
          <c:showLegendKey val="0"/>
          <c:showVal val="0"/>
          <c:showCatName val="0"/>
          <c:showSerName val="0"/>
          <c:showPercent val="0"/>
          <c:showBubbleSize val="0"/>
        </c:dLbls>
        <c:gapWidth val="150"/>
        <c:overlap val="100"/>
        <c:axId val="13469232"/>
        <c:axId val="13468272"/>
      </c:barChart>
      <c:catAx>
        <c:axId val="13469232"/>
        <c:scaling>
          <c:orientation val="maxMin"/>
        </c:scaling>
        <c:delete val="0"/>
        <c:axPos val="l"/>
        <c:numFmt formatCode="General" sourceLinked="1"/>
        <c:majorTickMark val="none"/>
        <c:minorTickMark val="none"/>
        <c:tickLblPos val="nextTo"/>
        <c:spPr>
          <a:noFill/>
          <a:ln w="9525" cap="flat" cmpd="sng" algn="ctr">
            <a:solidFill>
              <a:schemeClr val="bg2"/>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68272"/>
        <c:crosses val="autoZero"/>
        <c:auto val="1"/>
        <c:lblAlgn val="ctr"/>
        <c:lblOffset val="100"/>
        <c:noMultiLvlLbl val="0"/>
      </c:catAx>
      <c:valAx>
        <c:axId val="13468272"/>
        <c:scaling>
          <c:orientation val="minMax"/>
          <c:max val="130"/>
          <c:min val="0"/>
        </c:scaling>
        <c:delete val="0"/>
        <c:axPos val="b"/>
        <c:numFmt formatCode="&quot;$&quot;#,##0.00_);[Red]\(&quot;$&quot;#,##0.00\)"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69232"/>
        <c:crosses val="max"/>
        <c:crossBetween val="between"/>
        <c:majorUnit val="30"/>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CAGR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CAGR</a:t>
          </a:r>
        </a:p>
      </cx:txPr>
    </cx:title>
    <cx:plotArea>
      <cx:plotAreaRegion>
        <cx:series layoutId="funnel" uniqueId="{916337BD-F5AB-134F-8C76-4E5AC9ABBD59}">
          <cx:tx>
            <cx:txData>
              <cx:f>_xlchart.v2.1</cx:f>
              <cx:v>CAGR</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1809750</xdr:colOff>
      <xdr:row>65</xdr:row>
      <xdr:rowOff>107950</xdr:rowOff>
    </xdr:from>
    <xdr:to>
      <xdr:col>7</xdr:col>
      <xdr:colOff>742950</xdr:colOff>
      <xdr:row>79</xdr:row>
      <xdr:rowOff>184150</xdr:rowOff>
    </xdr:to>
    <xdr:graphicFrame macro="">
      <xdr:nvGraphicFramePr>
        <xdr:cNvPr id="2" name="Chart 1">
          <a:extLst>
            <a:ext uri="{FF2B5EF4-FFF2-40B4-BE49-F238E27FC236}">
              <a16:creationId xmlns:a16="http://schemas.microsoft.com/office/drawing/2014/main" id="{24687BE5-6DC5-D8BD-561B-D28A1304F1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222250</xdr:colOff>
      <xdr:row>66</xdr:row>
      <xdr:rowOff>133350</xdr:rowOff>
    </xdr:from>
    <xdr:to>
      <xdr:col>15</xdr:col>
      <xdr:colOff>209550</xdr:colOff>
      <xdr:row>81</xdr:row>
      <xdr:rowOff>19050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EE20E43B-EE48-85D2-2241-4C179AAEE1C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909050" y="126428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215900</xdr:colOff>
      <xdr:row>81</xdr:row>
      <xdr:rowOff>120650</xdr:rowOff>
    </xdr:from>
    <xdr:to>
      <xdr:col>15</xdr:col>
      <xdr:colOff>203200</xdr:colOff>
      <xdr:row>96</xdr:row>
      <xdr:rowOff>6350</xdr:rowOff>
    </xdr:to>
    <xdr:graphicFrame macro="">
      <xdr:nvGraphicFramePr>
        <xdr:cNvPr id="4" name="Chart 3">
          <a:extLst>
            <a:ext uri="{FF2B5EF4-FFF2-40B4-BE49-F238E27FC236}">
              <a16:creationId xmlns:a16="http://schemas.microsoft.com/office/drawing/2014/main" id="{26600294-801C-26AE-2748-78CF607111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203200</xdr:colOff>
      <xdr:row>97</xdr:row>
      <xdr:rowOff>19050</xdr:rowOff>
    </xdr:from>
    <xdr:to>
      <xdr:col>15</xdr:col>
      <xdr:colOff>190500</xdr:colOff>
      <xdr:row>111</xdr:row>
      <xdr:rowOff>95250</xdr:rowOff>
    </xdr:to>
    <xdr:graphicFrame macro="">
      <xdr:nvGraphicFramePr>
        <xdr:cNvPr id="5" name="Chart 4">
          <a:extLst>
            <a:ext uri="{FF2B5EF4-FFF2-40B4-BE49-F238E27FC236}">
              <a16:creationId xmlns:a16="http://schemas.microsoft.com/office/drawing/2014/main" id="{E6A0ED14-3D21-BA9E-BE56-D29387B8E8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1790700</xdr:colOff>
      <xdr:row>80</xdr:row>
      <xdr:rowOff>69850</xdr:rowOff>
    </xdr:from>
    <xdr:to>
      <xdr:col>7</xdr:col>
      <xdr:colOff>723900</xdr:colOff>
      <xdr:row>94</xdr:row>
      <xdr:rowOff>146050</xdr:rowOff>
    </xdr:to>
    <xdr:graphicFrame macro="">
      <xdr:nvGraphicFramePr>
        <xdr:cNvPr id="6" name="Chart 5">
          <a:extLst>
            <a:ext uri="{FF2B5EF4-FFF2-40B4-BE49-F238E27FC236}">
              <a16:creationId xmlns:a16="http://schemas.microsoft.com/office/drawing/2014/main" id="{DE5B85B4-4437-984B-C8E7-67755E5120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3587750</xdr:colOff>
      <xdr:row>64</xdr:row>
      <xdr:rowOff>129309</xdr:rowOff>
    </xdr:from>
    <xdr:to>
      <xdr:col>7</xdr:col>
      <xdr:colOff>496454</xdr:colOff>
      <xdr:row>79</xdr:row>
      <xdr:rowOff>58305</xdr:rowOff>
    </xdr:to>
    <xdr:graphicFrame macro="">
      <xdr:nvGraphicFramePr>
        <xdr:cNvPr id="9" name="Chart 8">
          <a:extLst>
            <a:ext uri="{FF2B5EF4-FFF2-40B4-BE49-F238E27FC236}">
              <a16:creationId xmlns:a16="http://schemas.microsoft.com/office/drawing/2014/main" id="{0594847C-F0A8-DA62-7150-F81904F008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23090</xdr:colOff>
      <xdr:row>64</xdr:row>
      <xdr:rowOff>129309</xdr:rowOff>
    </xdr:from>
    <xdr:to>
      <xdr:col>14</xdr:col>
      <xdr:colOff>352136</xdr:colOff>
      <xdr:row>79</xdr:row>
      <xdr:rowOff>58305</xdr:rowOff>
    </xdr:to>
    <xdr:graphicFrame macro="">
      <xdr:nvGraphicFramePr>
        <xdr:cNvPr id="10" name="Chart 9">
          <a:extLst>
            <a:ext uri="{FF2B5EF4-FFF2-40B4-BE49-F238E27FC236}">
              <a16:creationId xmlns:a16="http://schemas.microsoft.com/office/drawing/2014/main" id="{CA5B45AC-101D-16BC-B35B-A6C91EC045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104775</xdr:colOff>
      <xdr:row>12</xdr:row>
      <xdr:rowOff>80962</xdr:rowOff>
    </xdr:from>
    <xdr:to>
      <xdr:col>14</xdr:col>
      <xdr:colOff>28575</xdr:colOff>
      <xdr:row>26</xdr:row>
      <xdr:rowOff>176212</xdr:rowOff>
    </xdr:to>
    <xdr:graphicFrame macro="">
      <xdr:nvGraphicFramePr>
        <xdr:cNvPr id="54" name="Chart 3">
          <a:extLst>
            <a:ext uri="{FF2B5EF4-FFF2-40B4-BE49-F238E27FC236}">
              <a16:creationId xmlns:a16="http://schemas.microsoft.com/office/drawing/2014/main" id="{0EF17147-CAAD-EBD6-D32A-083E9E9DA0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190500</xdr:colOff>
      <xdr:row>1</xdr:row>
      <xdr:rowOff>161925</xdr:rowOff>
    </xdr:from>
    <xdr:to>
      <xdr:col>19</xdr:col>
      <xdr:colOff>523875</xdr:colOff>
      <xdr:row>25</xdr:row>
      <xdr:rowOff>28575</xdr:rowOff>
    </xdr:to>
    <xdr:pic>
      <xdr:nvPicPr>
        <xdr:cNvPr id="2" name="Picture 1">
          <a:extLst>
            <a:ext uri="{FF2B5EF4-FFF2-40B4-BE49-F238E27FC236}">
              <a16:creationId xmlns:a16="http://schemas.microsoft.com/office/drawing/2014/main" id="{CBFC20B7-BC63-F97A-B177-1D60317935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33850" y="542925"/>
          <a:ext cx="8258175" cy="441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333375</xdr:colOff>
      <xdr:row>26</xdr:row>
      <xdr:rowOff>171450</xdr:rowOff>
    </xdr:from>
    <xdr:to>
      <xdr:col>20</xdr:col>
      <xdr:colOff>409575</xdr:colOff>
      <xdr:row>43</xdr:row>
      <xdr:rowOff>19050</xdr:rowOff>
    </xdr:to>
    <xdr:pic>
      <xdr:nvPicPr>
        <xdr:cNvPr id="3" name="Picture 2">
          <a:extLst>
            <a:ext uri="{FF2B5EF4-FFF2-40B4-BE49-F238E27FC236}">
              <a16:creationId xmlns:a16="http://schemas.microsoft.com/office/drawing/2014/main" id="{A5A8CD98-EFC9-E80C-D5E3-4B7B962E5D07}"/>
            </a:ext>
            <a:ext uri="{147F2762-F138-4A5C-976F-8EAC2B608ADB}">
              <a16:predDERef xmlns:a16="http://schemas.microsoft.com/office/drawing/2014/main" pred="{CBFC20B7-BC63-F97A-B177-1D60317935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00600" y="5353050"/>
          <a:ext cx="9677400"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0</xdr:colOff>
      <xdr:row>1</xdr:row>
      <xdr:rowOff>0</xdr:rowOff>
    </xdr:from>
    <xdr:to>
      <xdr:col>14</xdr:col>
      <xdr:colOff>581776</xdr:colOff>
      <xdr:row>26</xdr:row>
      <xdr:rowOff>76887</xdr:rowOff>
    </xdr:to>
    <xdr:pic>
      <xdr:nvPicPr>
        <xdr:cNvPr id="3" name="Picture 2">
          <a:extLst>
            <a:ext uri="{FF2B5EF4-FFF2-40B4-BE49-F238E27FC236}">
              <a16:creationId xmlns:a16="http://schemas.microsoft.com/office/drawing/2014/main" id="{3AE468D9-45B7-4237-4B05-8F08D12B845D}"/>
            </a:ext>
          </a:extLst>
        </xdr:cNvPr>
        <xdr:cNvPicPr>
          <a:picLocks noChangeAspect="1"/>
        </xdr:cNvPicPr>
      </xdr:nvPicPr>
      <xdr:blipFill>
        <a:blip xmlns:r="http://schemas.openxmlformats.org/officeDocument/2006/relationships" r:embed="rId1"/>
        <a:stretch>
          <a:fillRect/>
        </a:stretch>
      </xdr:blipFill>
      <xdr:spPr>
        <a:xfrm>
          <a:off x="4267200" y="190500"/>
          <a:ext cx="5382376" cy="4925112"/>
        </a:xfrm>
        <a:prstGeom prst="rect">
          <a:avLst/>
        </a:prstGeom>
      </xdr:spPr>
    </xdr:pic>
    <xdr:clientData/>
  </xdr:twoCellAnchor>
  <xdr:twoCellAnchor editAs="oneCell">
    <xdr:from>
      <xdr:col>7</xdr:col>
      <xdr:colOff>476250</xdr:colOff>
      <xdr:row>45</xdr:row>
      <xdr:rowOff>180975</xdr:rowOff>
    </xdr:from>
    <xdr:to>
      <xdr:col>15</xdr:col>
      <xdr:colOff>524647</xdr:colOff>
      <xdr:row>70</xdr:row>
      <xdr:rowOff>124482</xdr:rowOff>
    </xdr:to>
    <xdr:pic>
      <xdr:nvPicPr>
        <xdr:cNvPr id="10" name="Picture 4">
          <a:extLst>
            <a:ext uri="{FF2B5EF4-FFF2-40B4-BE49-F238E27FC236}">
              <a16:creationId xmlns:a16="http://schemas.microsoft.com/office/drawing/2014/main" id="{C2621BFD-8EC7-0E65-44E5-EAB7747C7DE7}"/>
            </a:ext>
          </a:extLst>
        </xdr:cNvPr>
        <xdr:cNvPicPr>
          <a:picLocks noChangeAspect="1"/>
        </xdr:cNvPicPr>
      </xdr:nvPicPr>
      <xdr:blipFill>
        <a:blip xmlns:r="http://schemas.openxmlformats.org/officeDocument/2006/relationships" r:embed="rId2"/>
        <a:stretch>
          <a:fillRect/>
        </a:stretch>
      </xdr:blipFill>
      <xdr:spPr>
        <a:xfrm>
          <a:off x="4933950" y="9172575"/>
          <a:ext cx="5534797" cy="4706007"/>
        </a:xfrm>
        <a:prstGeom prst="rect">
          <a:avLst/>
        </a:prstGeom>
      </xdr:spPr>
    </xdr:pic>
    <xdr:clientData/>
  </xdr:twoCellAnchor>
  <xdr:twoCellAnchor editAs="oneCell">
    <xdr:from>
      <xdr:col>1</xdr:col>
      <xdr:colOff>400050</xdr:colOff>
      <xdr:row>71</xdr:row>
      <xdr:rowOff>47625</xdr:rowOff>
    </xdr:from>
    <xdr:to>
      <xdr:col>9</xdr:col>
      <xdr:colOff>178564</xdr:colOff>
      <xdr:row>78</xdr:row>
      <xdr:rowOff>47811</xdr:rowOff>
    </xdr:to>
    <xdr:pic>
      <xdr:nvPicPr>
        <xdr:cNvPr id="11" name="Picture 5">
          <a:extLst>
            <a:ext uri="{FF2B5EF4-FFF2-40B4-BE49-F238E27FC236}">
              <a16:creationId xmlns:a16="http://schemas.microsoft.com/office/drawing/2014/main" id="{4B4CE4F2-5037-6634-3827-171BE1C565F3}"/>
            </a:ext>
          </a:extLst>
        </xdr:cNvPr>
        <xdr:cNvPicPr>
          <a:picLocks noChangeAspect="1"/>
        </xdr:cNvPicPr>
      </xdr:nvPicPr>
      <xdr:blipFill>
        <a:blip xmlns:r="http://schemas.openxmlformats.org/officeDocument/2006/relationships" r:embed="rId3"/>
        <a:stretch>
          <a:fillRect/>
        </a:stretch>
      </xdr:blipFill>
      <xdr:spPr>
        <a:xfrm>
          <a:off x="1009650" y="13992225"/>
          <a:ext cx="5477639" cy="133368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Leandro/Documents/exchange%20program-GMU/Advanced%20topics%20in%20valuation/NYSF_-_Amazon_-_Final.xls" TargetMode="External"/><Relationship Id="rId1" Type="http://schemas.openxmlformats.org/officeDocument/2006/relationships/externalLinkPath" Target="file:///D:/Leandro/Documents/exchange%20program-GMU/Advanced%20topics%20in%20valuation/NYSF_-_Amazon_-_Fin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 Statement"/>
      <sheetName val="Cash Flow Statement"/>
      <sheetName val="Balance Sheet"/>
      <sheetName val="Depreciation"/>
      <sheetName val="Operating Working Capital"/>
      <sheetName val="Debt Schedule"/>
      <sheetName val="---&gt; Valuation"/>
      <sheetName val="DCF Analysis"/>
      <sheetName val="Comparable Companies Anaylsis"/>
      <sheetName val="AMZN Comp"/>
      <sheetName val="EBAY Comp"/>
      <sheetName val="ETSY Comp"/>
      <sheetName val="WMT Comp"/>
      <sheetName val="TGT Comp"/>
      <sheetName val="BBY Comp"/>
      <sheetName val="GOOG Comp"/>
      <sheetName val="NFLX Comp"/>
      <sheetName val="IBM Comp"/>
      <sheetName val="Precedent Transactions Analysis"/>
      <sheetName val="Football Field"/>
    </sheetNames>
    <sheetDataSet>
      <sheetData sheetId="0"/>
      <sheetData sheetId="1"/>
      <sheetData sheetId="2"/>
      <sheetData sheetId="3"/>
      <sheetData sheetId="4"/>
      <sheetData sheetId="5">
        <row r="3">
          <cell r="A3" t="str">
            <v>(in US$ millions except per share amounts)</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14">
          <cell r="B14" t="str">
            <v>Low</v>
          </cell>
        </row>
      </sheetData>
    </sheetDataSet>
  </externalBook>
</externalLink>
</file>

<file path=xl/persons/person.xml><?xml version="1.0" encoding="utf-8"?>
<personList xmlns="http://schemas.microsoft.com/office/spreadsheetml/2018/threadedcomments" xmlns:x="http://schemas.openxmlformats.org/spreadsheetml/2006/main">
  <person displayName="James Rogers Ochwa" id="{3C14C25C-809E-4AD1-B7F4-8E055287A69B}" userId="S::jochwa@gmu.edu::ff2e8af4-06b6-4e92-86ca-d6ecf63059ea" providerId="AD"/>
  <person displayName="Chen Yuanyi" id="{EF950AD8-3951-48E9-8929-54B5D8693EE3}" userId="S::cyuanyi@gmu.edu::d986b99a-dc55-4c18-ac92-12303c303056" providerId="AD"/>
  <person displayName="Leandro Vaz Garcia" id="{A36E6E6F-2091-4C93-8AC9-143CD20F360A}" userId="S::lvazgarc@GMU.EDU::81339b33-6863-48fe-ac89-81e1d95014bb" providerId="AD"/>
</personList>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8" dT="2025-04-08T19:16:32.58" personId="{A36E6E6F-2091-4C93-8AC9-143CD20F360A}" id="{C10108E3-F458-4E23-B37A-D82F24D29FE0}">
    <text xml:space="preserve">16% (non-GAAP). This performance was driven by 11% growth in price/mix and 5% growth in concentrate sales </text>
  </threadedComment>
  <threadedComment ref="E8" dT="2025-04-08T19:18:55.96" personId="{A36E6E6F-2091-4C93-8AC9-143CD20F360A}" id="{4BB51090-94B7-4F2A-9A0B-5EE7D203ABFB}">
    <text xml:space="preserve">12% (non-GAAP). driven by 10% growth in price/mix and 2% growth in concentrate sales. </text>
  </threadedComment>
  <threadedComment ref="F8" dT="2025-04-08T19:21:15.50" personId="{A36E6E6F-2091-4C93-8AC9-143CD20F360A}" id="{9854EEF6-8E40-42F0-B261-3DC511D3B434}">
    <text xml:space="preserve">12% (non-GAAP).grew 12%, driven by 11% growth in price/mix and 2% growth in concentrate sales.Concentrate sales were 1 point ahead of unit case volume, primarily due to the timing of concentrate shipments. </text>
  </threadedComment>
  <threadedComment ref="F17" dT="2025-03-31T21:15:45.84" personId="{3C14C25C-809E-4AD1-B7F4-8E055287A69B}" id="{7C27B364-F1D0-42FD-9BC6-F2D8331E7057}">
    <text>Had to pay fairlife deal from 2020 3109(paid in 2024). Impairment done to the 'BodyArmor' trademark lost 760, 133 to company productivity, impairment of trademark in latin America losing 126.</text>
  </threadedComment>
  <threadedComment ref="F17" dT="2025-03-31T21:15:58.37" personId="{3C14C25C-809E-4AD1-B7F4-8E055287A69B}" id="{B74533CE-5796-4A97-B967-69307267C1E0}" parentId="{7C27B364-F1D0-42FD-9BC6-F2D8331E7057}">
    <text>Page 48</text>
  </threadedComment>
  <threadedComment ref="G19" dT="2025-04-08T19:59:08.25" personId="{A36E6E6F-2091-4C93-8AC9-143CD20F360A}" id="{7762FB9B-37A9-432C-AEF8-5998559095E1}">
    <text>Ver onde coloca dep pro futuro e impacto da linha q eu embutir na projeção</text>
  </threadedComment>
  <threadedComment ref="E24" dT="2025-04-08T20:08:22.69" personId="{A36E6E6F-2091-4C93-8AC9-143CD20F360A}" id="{2E7F0B78-BD00-4773-81C3-6B0518A733E2}">
    <text xml:space="preserve">r. For the full year, operating margin was 24.7% versus 25.4% in the prior year, while comparable operating margin (non-GAAP) was 29.1% versus 28.7% in the prior year. Operating margin performance included items impacting comparability and currency headwinds. </text>
  </threadedComment>
  <threadedComment ref="F24" dT="2025-04-08T20:06:50.55" personId="{A36E6E6F-2091-4C93-8AC9-143CD20F360A}" id="{D7635750-F448-43C6-832F-2B14AD7BE72F}">
    <text xml:space="preserve">For the full year, operating margin was Exhibit 99.1 1 21.2% versus 24.7% in the prior year, while comparable operating margin (non-GAAP) was 30.0% versus 29.1% in the prior year.
Full year operating margin included a charge of $3.1 billion related to the remeasurement of the contingent consideration liability to fair value in conjunction with the acquisition of fairlife, LLC (“fairlife”) in 2020. 
. For both the quarter and the full year, comparable operating margin (non-GAAP) expansion was primarily driven by strong organic revenue (non-GAAP) growth and the impact of refranchising bottling operations, partially offset by higher input costs, higher operating expenses and currency headwinds </text>
  </threadedComment>
  <threadedComment ref="A26" dT="2025-04-09T02:19:15.66" personId="{A36E6E6F-2091-4C93-8AC9-143CD20F360A}" id="{057BC9D6-AD3A-4DEF-B7D2-183CC19A83A2}">
    <text xml:space="preserve">In 2024, other income (loss) — net was income of $1,992 million. The Company recorded a net gain of $595 million related to the refranchising of our bottling operations in the Philippines, including the impact of post-closing adjustments, and recognized a net gain of $506 million related to the sale of our ownership interest in an equity method investee in Thailand, including the impact of post-closing adjustments. The Company also recognized a net gain of $338 million related to the sale of a portion of our interest in Coke Consolidated, a net gain of $303 million related to the refranchising of our bottling operations in certain territories in India, including the impact of post-closing adjustments, and a net gain of $290 million related to realized and unrealized gains and losses on equity securities and trading debt securities as well as realized gains and losses on available-for-sale debt securities. Additionally, the Company recognized dividend income of $205 million and net income of $76 million related to the non-service cost components of net periodic benefit cost, of which $21 million was due to pension and other postretirement benefit plan settlement gains. Other income (loss) — net also included net foreign currency exchange losses of $180 million, $114 million of costs related to our trade accounts receivable factoring program and an other-than-temporary impairment charge of $34 million related to an equity method investee in Latin America. </text>
  </threadedComment>
  <threadedComment ref="E51" dT="2025-04-08T23:27:57.50" personId="{A36E6E6F-2091-4C93-8AC9-143CD20F360A}" id="{3A8C4966-1ADE-40DE-B404-B8237DB65A05}">
    <text xml:space="preserve">For the full year, EPS grew 13% to $2.47, and comparable EPS (non-GAAP) grew 8% to $2.69. EPS performance included the impact of an 8-point currency headwind, while comparable EPS (non-GAAP) performance included the impact of a 7-point currency headwind </text>
  </threadedComment>
  <threadedComment ref="F51" dT="2025-04-08T23:26:31.89" personId="{A36E6E6F-2091-4C93-8AC9-143CD20F360A}" id="{4EE8C2C0-26F8-49A4-AD05-E86201DDDAD7}">
    <text xml:space="preserve">. For the full year, EPS declined slightly to $2.46, while comparable EPS (non-GAAP) grew 7% to $2.88. EPS and comparable EPS (non-GAAP) performance both included the impact of a 9-point currency headwind. </text>
  </threadedComment>
</ThreadedComments>
</file>

<file path=xl/threadedComments/threadedComment2.xml><?xml version="1.0" encoding="utf-8"?>
<ThreadedComments xmlns="http://schemas.microsoft.com/office/spreadsheetml/2018/threadedcomments" xmlns:x="http://schemas.openxmlformats.org/spreadsheetml/2006/main">
  <threadedComment ref="F25" dT="2025-04-14T18:55:23.36" personId="{A36E6E6F-2091-4C93-8AC9-143CD20F360A}" id="{36173AF6-1C13-492E-9EAF-2167C0AE131C}">
    <text xml:space="preserve">Represents the fairlife, LLC (“fairlife”) contingent consideration liability. As of December 31, 2023, this balance was $3,017 million and was recorded in the line item other noncurrent liabilities in our consolidated balance sheet. Refer to Note 17. </text>
  </threadedComment>
  <threadedComment ref="E26" dT="2025-04-14T19:38:53.14" personId="{A36E6E6F-2091-4C93-8AC9-143CD20F360A}" id="{D890548D-2547-4B37-B149-F9E41928F869}">
    <text xml:space="preserve">Loans and notes payable consist primarily of commercial paper issued in the United States. As of December 31, 2024 and 2023, we had $1,139 million and $4,209 million, respectively, in outstanding commercial paper borrowings. Our weighted-average interest rates for commercial paper outstanding were 5.0% and 5.3% as of December 31, 2024 and 2023, respectively. As of December 31, 2024 and 2023, the Company also had $360 million and $348 million, respectively, in lines of credit, short-term credit facilities and other short-term borrowings.
In addition, we had $5,693 million in unused lines of credit and other short-term credit facilities as of December 31, 2024, of which $4,550 million was in corporate backup lines of credit for general purposes. These backup lines of credit expire at various times through 2029. There were no borrowings under these corporate backup lines of credit during 2024. These credit facilities are subject to normal banking terms and conditions. Some of the financial arrangements require compensating balances, none of which was significant to our Company.
</text>
  </threadedComment>
  <threadedComment ref="B32" dT="2025-04-14T16:37:58.66" personId="{A36E6E6F-2091-4C93-8AC9-143CD20F360A}" id="{F71749F1-C5EB-4F44-9D5B-AE9C0B9515E0}">
    <text>The change in wc for this line in 2024 doesn't communciate with cash flow for this period</text>
  </threadedComment>
</ThreadedComments>
</file>

<file path=xl/threadedComments/threadedComment3.xml><?xml version="1.0" encoding="utf-8"?>
<ThreadedComments xmlns="http://schemas.microsoft.com/office/spreadsheetml/2018/threadedcomments" xmlns:x="http://schemas.openxmlformats.org/spreadsheetml/2006/main">
  <threadedComment ref="C10" dT="2025-04-15T19:19:37.82" personId="{A36E6E6F-2091-4C93-8AC9-143CD20F360A}" id="{FBEE50F0-5161-4809-93CB-037E79D3AD1B}">
    <text>We have defered taxes in assets and liabilities. Which one should I use?
and if I group all the parts in grey? Where wouldI use other non cash adjustments</text>
  </threadedComment>
  <threadedComment ref="G10" dT="2025-04-15T19:08:52.25" personId="{A36E6E6F-2091-4C93-8AC9-143CD20F360A}" id="{8CE22D6F-02AB-4235-A819-377AE78B8F5C}">
    <text>Depreciation tab</text>
  </threadedComment>
  <threadedComment ref="D11" dT="2025-03-31T21:21:57.59" personId="{EF950AD8-3951-48E9-8929-54B5D8693EE3}" id="{EE2D81A3-10C4-41D2-9246-19C31F506955}">
    <text>The company recognizes higher investment gains, but these gains do not actually translate into cash inflows to the company, so they need to be deducted from net income in the statement of cash flows</text>
  </threadedComment>
  <threadedComment ref="B13" dT="2025-03-31T21:26:23.09" personId="{EF950AD8-3951-48E9-8929-54B5D8693EE3}" id="{3B72B0FC-27E7-450C-9563-BD92753F4CB2}">
    <text>Reflects the company's net gain or loss from asset sales, divestitures or other significant transactions.</text>
  </threadedComment>
  <threadedComment ref="F13" dT="2025-03-31T21:31:14.67" personId="{EF950AD8-3951-48E9-8929-54B5D8693EE3}" id="{651FFB23-7801-4799-B14C-EAB2D877F99D}">
    <text>A $595 million gain on the sale of the Philippines bottling business, a $506 million gain on the sale of a stake in an equity-method investment company in Thailand, a $338 million gain on the sale of a portion of Coca-Cola Consolidated, and a $290 million gain on the restructuring of the India bottling business</text>
  </threadedComment>
  <threadedComment ref="F13" dT="2025-03-31T21:36:44.27" personId="{EF950AD8-3951-48E9-8929-54B5D8693EE3}" id="{3455C41D-CB90-4E06-8E36-382B04168E48}" parentId="{651FFB23-7801-4799-B14C-EAB2D877F99D}">
    <text>page 113</text>
  </threadedComment>
  <threadedComment ref="C17" dT="2025-04-15T19:10:19.92" personId="{A36E6E6F-2091-4C93-8AC9-143CD20F360A}" id="{D7BEC6DD-3336-42F5-96C2-7F35493771C2}">
    <text>Comes from wc tab</text>
  </threadedComment>
  <threadedComment ref="F17" dT="2025-03-31T21:33:19.08" personId="{EF950AD8-3951-48E9-8929-54B5D8693EE3}" id="{6E7CA75D-B2AC-46FB-A339-F149DE4FA9EA}">
    <text>$6 billion tax litigation deposit to be paid to the IRS in 2024. Excluding this tax litigation deposit, the company's free cash flow actually increased by 11% year-over-year</text>
  </threadedComment>
  <threadedComment ref="F17" dT="2025-03-31T21:35:28.98" personId="{EF950AD8-3951-48E9-8929-54B5D8693EE3}" id="{058BF2BB-2B20-4D2B-88AB-AF42B4B4BAEA}" parentId="{6E7CA75D-B2AC-46FB-A339-F149DE4FA9EA}">
    <text>page 118</text>
  </threadedComment>
  <threadedComment ref="F20" dT="2025-04-13T20:31:50.71" personId="{A36E6E6F-2091-4C93-8AC9-143CD20F360A}" id="{02B47E6B-0699-40B4-A267-7AC956F93A7F}">
    <text xml:space="preserve">The increase in prepaid expenses and other current assets and other noncurrent assets in 2024 was primarily due to the IRS Tax Litigation Deposit. Refer to Note 12. </text>
  </threadedComment>
  <threadedComment ref="C27" dT="2025-04-15T19:53:59.45" personId="{A36E6E6F-2091-4C93-8AC9-143CD20F360A}" id="{D609DEDF-C9CD-4A42-8605-888576EA6749}">
    <text xml:space="preserve">Connect it with in the assets: 
Purchases of Investments and Proceeds from Disposals of Investments
In 2024, purchases of investments were $5,640 million and proceeds from disposals of investments were $6,589 million, resulting in a net cash inflow of $949 million. In 2023, purchases of investments were $6,698 million and proceeds from disposals of investments were $4,354 million, resulting in a net cash outflow of $2,344 million. This activity primarily represents the purchases of, and proceeds from the disposals of, investments in marketable securities and short-term investments that were made as part of the Company’s overall cash management strategy. Also included in this activity are purchases of, and proceeds from the disposals of, investments held by our captive insurance companies.
</text>
  </threadedComment>
  <threadedComment ref="C31" dT="2025-04-15T19:36:50.28" personId="{A36E6E6F-2091-4C93-8AC9-143CD20F360A}" id="{BA3B8A6A-43CE-4F28-B209-9AA931D897A8}">
    <text xml:space="preserve">I added Proceeds from disposals of property, plant and equipment </text>
  </threadedComment>
  <threadedComment ref="C45" dT="2025-04-15T20:15:46.67" personId="{A36E6E6F-2091-4C93-8AC9-143CD20F360A}" id="{8AB4047A-8A2C-4A2F-AC13-0419510C2F95}">
    <text xml:space="preserve">I used 0 because I didn' know where to use and it's not very important
</text>
  </threadedComment>
</ThreadedComments>
</file>

<file path=xl/threadedComments/threadedComment4.xml><?xml version="1.0" encoding="utf-8"?>
<ThreadedComments xmlns="http://schemas.microsoft.com/office/spreadsheetml/2018/threadedcomments" xmlns:x="http://schemas.openxmlformats.org/spreadsheetml/2006/main">
  <threadedComment ref="B19" dT="2025-04-14T03:33:30.51" personId="{A36E6E6F-2091-4C93-8AC9-143CD20F360A}" id="{6586DA2B-B810-438D-B025-153B021A7705}">
    <text>Maybe we should exclude this one because it isn't current, but let's leave like that meanwhile.</text>
  </threadedComment>
</ThreadedComments>
</file>

<file path=xl/threadedComments/threadedComment5.xml><?xml version="1.0" encoding="utf-8"?>
<ThreadedComments xmlns="http://schemas.microsoft.com/office/spreadsheetml/2018/threadedcomments" xmlns:x="http://schemas.openxmlformats.org/spreadsheetml/2006/main">
  <threadedComment ref="C22" dT="2025-05-06T19:25:07.77" personId="{A36E6E6F-2091-4C93-8AC9-143CD20F360A}" id="{7C734E40-EDCD-491E-A567-82563BCCFD01}">
    <text>Used the price of 2024 to align with the year of debt and cash used</text>
  </threadedComment>
</ThreadedComments>
</file>

<file path=xl/threadedComments/threadedComment6.xml><?xml version="1.0" encoding="utf-8"?>
<ThreadedComments xmlns="http://schemas.microsoft.com/office/spreadsheetml/2018/threadedcomments" xmlns:x="http://schemas.openxmlformats.org/spreadsheetml/2006/main">
  <threadedComment ref="N6" dT="2025-05-06T00:57:22.71" personId="{A36E6E6F-2091-4C93-8AC9-143CD20F360A}" id="{D807A8E3-8F03-4761-B058-A14D9FD60F12}">
    <text>Using 9.4x ev/ebitda</text>
  </threadedComment>
  <threadedComment ref="P6" dT="2025-05-06T00:57:40.19" personId="{A36E6E6F-2091-4C93-8AC9-143CD20F360A}" id="{5DAED7F7-E49B-439E-B4AE-EC671E6DB075}">
    <text>Using 26.8x ev/ebitda</text>
  </threadedComment>
  <threadedComment ref="R6" dT="2025-05-06T01:00:32.66" personId="{A36E6E6F-2091-4C93-8AC9-143CD20F360A}" id="{59A5BFA8-B44E-446C-87F9-454F8D72697F}">
    <text>G=2%</text>
  </threadedComment>
  <threadedComment ref="T6" dT="2025-05-06T01:00:43.24" personId="{A36E6E6F-2091-4C93-8AC9-143CD20F360A}" id="{EC78BB52-D2F9-4669-81A0-82707E850520}">
    <text>G=4%</text>
  </threadedComment>
</ThreadedComments>
</file>

<file path=xl/threadedComments/threadedComment7.xml><?xml version="1.0" encoding="utf-8"?>
<ThreadedComments xmlns="http://schemas.microsoft.com/office/spreadsheetml/2018/threadedcomments" xmlns:x="http://schemas.openxmlformats.org/spreadsheetml/2006/main">
  <threadedComment ref="L6" dT="2025-05-06T19:41:40.16" personId="{A36E6E6F-2091-4C93-8AC9-143CD20F360A}" id="{5482523D-3C50-4C9B-9629-B9A0618EF6A4}">
    <text>Using current market cap, but 2024 net debt and cash</text>
  </threadedComment>
</ThreadedComments>
</file>

<file path=xl/threadedComments/threadedComment8.xml><?xml version="1.0" encoding="utf-8"?>
<ThreadedComments xmlns="http://schemas.microsoft.com/office/spreadsheetml/2018/threadedcomments" xmlns:x="http://schemas.openxmlformats.org/spreadsheetml/2006/main">
  <threadedComment ref="D54" dT="2025-05-05T00:51:20.45" personId="{EF950AD8-3951-48E9-8929-54B5D8693EE3}" id="{7C9EB74E-8CEE-4470-9900-D8F229611CD7}">
    <text>shared price as of 05-04-2025</text>
  </threadedComment>
  <threadedComment ref="D55" dT="2025-05-05T01:03:32.86" personId="{EF950AD8-3951-48E9-8929-54B5D8693EE3}" id="{4D1FEAE1-CB86-4AAB-84DA-F45E60EB3885}">
    <text>From 10Q 2025</text>
  </threadedComment>
  <threadedComment ref="D57" dT="2025-05-05T01:09:35.79" personId="{EF950AD8-3951-48E9-8929-54B5D8693EE3}" id="{8C675D62-342E-4D3E-9097-A586D607F36E}">
    <text>Page 9</text>
  </threadedComment>
</ThreadedComments>
</file>

<file path=xl/threadedComments/threadedComment9.xml><?xml version="1.0" encoding="utf-8"?>
<ThreadedComments xmlns="http://schemas.microsoft.com/office/spreadsheetml/2018/threadedcomments" xmlns:x="http://schemas.openxmlformats.org/spreadsheetml/2006/main">
  <threadedComment ref="E6" dT="2025-05-05T01:17:30.13" personId="{EF950AD8-3951-48E9-8929-54B5D8693EE3}" id="{DF6160CC-2786-4D8A-B946-27FB9158B0E5}">
    <text>yahoo finance</text>
  </threadedComment>
  <threadedComment ref="E15" dT="2025-05-05T01:29:46.11" personId="{EF950AD8-3951-48E9-8929-54B5D8693EE3}" id="{D6BA0723-C516-425D-93B4-F5B703DE28F1}">
    <text>Similar to the 10Q of 2005</text>
  </threadedComment>
  <threadedComment ref="E45" dT="2025-05-05T01:59:48.47" personId="{EF950AD8-3951-48E9-8929-54B5D8693EE3}" id="{2921A2C2-444C-41F3-B97E-36EE8413F77B}">
    <text>10Q</text>
  </threadedComment>
  <threadedComment ref="D51" dT="2025-05-05T01:49:04.70" personId="{EF950AD8-3951-48E9-8929-54B5D8693EE3}" id="{8E6FC280-320D-4EC3-B69C-826662A21F7C}">
    <text>10Q 2025</text>
  </threadedComment>
</ThreadedComments>
</file>

<file path=xl/threadedComments/threadedComment10.xml><?xml version="1.0" encoding="utf-8"?>
<ThreadedComments xmlns="http://schemas.microsoft.com/office/spreadsheetml/2018/threadedcomments" xmlns:x="http://schemas.openxmlformats.org/spreadsheetml/2006/main">
  <threadedComment ref="D55" dT="2025-05-05T02:18:42.19" personId="{EF950AD8-3951-48E9-8929-54B5D8693EE3}" id="{F2ECE578-0548-4DC9-B81C-8FF29ABDEEB0}">
    <text>Then didn't announce their 6-k. so I find in Yahoo finance</text>
  </threadedComment>
</ThreadedComments>
</file>

<file path=xl/threadedComments/threadedComment11.xml><?xml version="1.0" encoding="utf-8"?>
<ThreadedComments xmlns="http://schemas.microsoft.com/office/spreadsheetml/2018/threadedcomments" xmlns:x="http://schemas.openxmlformats.org/spreadsheetml/2006/main">
  <threadedComment ref="E48" dT="2025-05-05T14:41:15.11" personId="{EF950AD8-3951-48E9-8929-54B5D8693EE3}" id="{30E7E5C8-72FC-422E-92FA-83B0494FBCAB}">
    <text>yahoo</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3.xml"/><Relationship Id="rId4" Type="http://schemas.microsoft.com/office/2017/10/relationships/threadedComment" Target="../threadedComments/threadedComment6.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3" Type="http://schemas.microsoft.com/office/2017/10/relationships/threadedComment" Target="../threadedComments/threadedComment11.xml"/><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624F1-96CB-2F49-96C8-EC4C2C0C9BDB}">
  <dimension ref="A2:Q29"/>
  <sheetViews>
    <sheetView showGridLines="0" tabSelected="1" workbookViewId="0">
      <selection activeCell="C17" sqref="C17"/>
    </sheetView>
  </sheetViews>
  <sheetFormatPr baseColWidth="10" defaultRowHeight="15"/>
  <sheetData>
    <row r="2" spans="1:17" ht="16">
      <c r="A2" s="555" t="s">
        <v>366</v>
      </c>
      <c r="B2" s="555"/>
      <c r="C2" s="555"/>
      <c r="D2" s="557" t="s">
        <v>371</v>
      </c>
      <c r="E2" s="555"/>
      <c r="F2" s="555"/>
      <c r="G2" s="555"/>
      <c r="H2" s="555"/>
      <c r="I2" s="555"/>
      <c r="J2" s="555"/>
      <c r="K2" s="555"/>
      <c r="L2" s="555"/>
      <c r="M2" s="555"/>
      <c r="N2" s="555"/>
      <c r="O2" s="555"/>
      <c r="P2" s="555"/>
      <c r="Q2" s="555"/>
    </row>
    <row r="3" spans="1:17" ht="16">
      <c r="A3" s="555"/>
      <c r="B3" s="555"/>
      <c r="C3" s="555"/>
      <c r="D3" s="555"/>
      <c r="E3" s="555"/>
      <c r="F3" s="555"/>
      <c r="G3" s="555"/>
      <c r="H3" s="555"/>
      <c r="I3" s="555"/>
      <c r="J3" s="555"/>
      <c r="K3" s="555"/>
      <c r="L3" s="555"/>
      <c r="M3" s="555"/>
      <c r="N3" s="555"/>
      <c r="O3" s="555"/>
      <c r="P3" s="555"/>
      <c r="Q3" s="555"/>
    </row>
    <row r="4" spans="1:17" ht="16">
      <c r="A4" s="555" t="s">
        <v>365</v>
      </c>
      <c r="B4" s="555"/>
      <c r="C4" s="555"/>
      <c r="D4" s="555"/>
      <c r="E4" s="555"/>
      <c r="F4" s="555"/>
      <c r="G4" s="555"/>
      <c r="H4" s="555"/>
      <c r="I4" s="555"/>
      <c r="J4" s="555"/>
      <c r="K4" s="555"/>
      <c r="L4" s="555"/>
      <c r="M4" s="555"/>
      <c r="N4" s="555"/>
      <c r="O4" s="555"/>
      <c r="P4" s="555"/>
      <c r="Q4" s="555"/>
    </row>
    <row r="5" spans="1:17" ht="16">
      <c r="A5" s="556" t="s">
        <v>367</v>
      </c>
      <c r="B5" s="555"/>
      <c r="C5" s="555"/>
      <c r="D5" s="555"/>
      <c r="E5" s="555"/>
      <c r="F5" s="555"/>
      <c r="G5" s="555"/>
      <c r="H5" s="555"/>
      <c r="I5" s="555"/>
      <c r="J5" s="555"/>
      <c r="K5" s="555"/>
      <c r="L5" s="555"/>
      <c r="M5" s="555"/>
      <c r="N5" s="555"/>
      <c r="O5" s="555"/>
      <c r="P5" s="555"/>
      <c r="Q5" s="555"/>
    </row>
    <row r="6" spans="1:17" ht="16">
      <c r="A6" s="555"/>
      <c r="B6" s="555"/>
      <c r="C6" s="555"/>
      <c r="D6" s="555"/>
      <c r="E6" s="555"/>
      <c r="F6" s="555"/>
      <c r="G6" s="555"/>
      <c r="H6" s="555"/>
      <c r="I6" s="555"/>
      <c r="J6" s="555"/>
      <c r="K6" s="555"/>
      <c r="L6" s="555"/>
      <c r="M6" s="555"/>
      <c r="N6" s="555"/>
      <c r="O6" s="555"/>
      <c r="P6" s="555"/>
      <c r="Q6" s="555"/>
    </row>
    <row r="7" spans="1:17" ht="16">
      <c r="A7" s="555" t="s">
        <v>368</v>
      </c>
      <c r="B7" s="555"/>
      <c r="C7" s="555"/>
      <c r="D7" s="555"/>
      <c r="E7" s="555"/>
      <c r="F7" s="555"/>
      <c r="G7" s="555"/>
      <c r="H7" s="555"/>
      <c r="I7" s="555"/>
      <c r="J7" s="555"/>
      <c r="K7" s="555"/>
      <c r="L7" s="555"/>
      <c r="M7" s="555"/>
      <c r="N7" s="555"/>
      <c r="O7" s="555"/>
      <c r="P7" s="555"/>
      <c r="Q7" s="555"/>
    </row>
    <row r="8" spans="1:17" ht="16">
      <c r="A8" s="556" t="s">
        <v>369</v>
      </c>
      <c r="B8" s="555"/>
      <c r="C8" s="555"/>
      <c r="D8" s="555"/>
      <c r="E8" s="555"/>
      <c r="F8" s="555"/>
      <c r="G8" s="555"/>
      <c r="H8" s="555"/>
      <c r="I8" s="555"/>
      <c r="J8" s="555"/>
      <c r="K8" s="555"/>
      <c r="L8" s="555"/>
      <c r="M8" s="555"/>
      <c r="N8" s="555"/>
      <c r="O8" s="555"/>
      <c r="P8" s="555"/>
      <c r="Q8" s="555"/>
    </row>
    <row r="9" spans="1:17" ht="16">
      <c r="A9" s="556"/>
      <c r="B9" s="555"/>
      <c r="C9" s="555"/>
      <c r="D9" s="555"/>
      <c r="E9" s="555"/>
      <c r="F9" s="555"/>
      <c r="G9" s="555"/>
      <c r="H9" s="555"/>
      <c r="I9" s="555"/>
      <c r="J9" s="555"/>
      <c r="K9" s="555"/>
      <c r="L9" s="555"/>
      <c r="M9" s="555"/>
      <c r="N9" s="555"/>
      <c r="O9" s="555"/>
      <c r="P9" s="555"/>
      <c r="Q9" s="555"/>
    </row>
    <row r="10" spans="1:17" ht="16">
      <c r="A10" s="556" t="s">
        <v>370</v>
      </c>
      <c r="B10" s="555"/>
      <c r="C10" s="555"/>
      <c r="D10" s="555"/>
      <c r="E10" s="555"/>
      <c r="F10" s="555"/>
      <c r="G10" s="555"/>
      <c r="H10" s="555"/>
      <c r="I10" s="555"/>
      <c r="J10" s="555"/>
      <c r="K10" s="555"/>
      <c r="L10" s="555"/>
      <c r="M10" s="555"/>
      <c r="N10" s="555"/>
      <c r="O10" s="555"/>
      <c r="P10" s="555"/>
      <c r="Q10" s="555"/>
    </row>
    <row r="11" spans="1:17" ht="16">
      <c r="A11" s="554" t="s">
        <v>372</v>
      </c>
      <c r="B11" s="555"/>
      <c r="C11" s="555"/>
      <c r="D11" s="555"/>
      <c r="E11" s="555"/>
      <c r="F11" s="555"/>
      <c r="G11" s="555"/>
      <c r="H11" s="555"/>
      <c r="I11" s="555"/>
      <c r="J11" s="555"/>
      <c r="K11" s="555"/>
      <c r="L11" s="555"/>
      <c r="M11" s="555"/>
      <c r="N11" s="555"/>
      <c r="O11" s="555"/>
      <c r="P11" s="555"/>
      <c r="Q11" s="555"/>
    </row>
    <row r="12" spans="1:17" ht="16">
      <c r="B12" s="555"/>
      <c r="C12" s="555"/>
      <c r="D12" s="555"/>
      <c r="E12" s="555"/>
      <c r="F12" s="555"/>
      <c r="G12" s="555"/>
      <c r="H12" s="555"/>
      <c r="I12" s="555"/>
      <c r="J12" s="555"/>
      <c r="K12" s="555"/>
      <c r="L12" s="555"/>
      <c r="M12" s="555"/>
      <c r="N12" s="555"/>
      <c r="O12" s="555"/>
      <c r="P12" s="555"/>
      <c r="Q12" s="555"/>
    </row>
    <row r="13" spans="1:17" ht="16">
      <c r="A13" s="553" t="s">
        <v>373</v>
      </c>
      <c r="B13" s="555"/>
      <c r="C13" s="555"/>
      <c r="D13" s="555"/>
      <c r="E13" s="555"/>
      <c r="F13" s="555"/>
      <c r="G13" s="555"/>
      <c r="H13" s="555"/>
      <c r="I13" s="555"/>
      <c r="J13" s="555"/>
      <c r="K13" s="555"/>
      <c r="L13" s="555"/>
      <c r="M13" s="555"/>
      <c r="N13" s="555"/>
      <c r="O13" s="555"/>
      <c r="P13" s="555"/>
      <c r="Q13" s="555"/>
    </row>
    <row r="14" spans="1:17" ht="16">
      <c r="B14" s="555"/>
      <c r="C14" s="555"/>
      <c r="D14" s="555"/>
      <c r="E14" s="555"/>
      <c r="F14" s="555"/>
      <c r="G14" s="555"/>
      <c r="H14" s="555"/>
      <c r="I14" s="555"/>
      <c r="J14" s="555"/>
      <c r="K14" s="555"/>
      <c r="L14" s="555"/>
      <c r="M14" s="555"/>
      <c r="N14" s="555"/>
      <c r="O14" s="555"/>
      <c r="P14" s="555"/>
      <c r="Q14" s="555"/>
    </row>
    <row r="15" spans="1:17" ht="16">
      <c r="A15" s="553" t="s">
        <v>374</v>
      </c>
      <c r="B15" s="555"/>
      <c r="C15" s="555"/>
      <c r="D15" s="555"/>
      <c r="E15" s="555"/>
      <c r="F15" s="555"/>
      <c r="G15" s="555"/>
      <c r="H15" s="555"/>
      <c r="I15" s="555"/>
      <c r="J15" s="555"/>
      <c r="K15" s="555"/>
      <c r="L15" s="555"/>
      <c r="M15" s="555"/>
      <c r="N15" s="555"/>
      <c r="O15" s="555"/>
      <c r="P15" s="555"/>
      <c r="Q15" s="555"/>
    </row>
    <row r="16" spans="1:17" ht="16">
      <c r="B16" s="555"/>
      <c r="C16" s="555"/>
      <c r="D16" s="555"/>
      <c r="E16" s="555"/>
      <c r="F16" s="555"/>
      <c r="G16" s="555"/>
      <c r="H16" s="555"/>
      <c r="I16" s="555"/>
      <c r="J16" s="555"/>
      <c r="K16" s="555"/>
      <c r="L16" s="555"/>
      <c r="M16" s="555"/>
      <c r="N16" s="555"/>
      <c r="O16" s="555"/>
      <c r="P16" s="555"/>
      <c r="Q16" s="555"/>
    </row>
    <row r="17" spans="1:17" ht="16">
      <c r="A17" s="553" t="s">
        <v>375</v>
      </c>
      <c r="B17" s="555"/>
      <c r="C17" s="555"/>
      <c r="D17" s="555"/>
      <c r="E17" s="555"/>
      <c r="F17" s="555"/>
      <c r="G17" s="555"/>
      <c r="H17" s="555"/>
      <c r="I17" s="555"/>
      <c r="J17" s="555"/>
      <c r="K17" s="555"/>
      <c r="L17" s="555"/>
      <c r="M17" s="555"/>
      <c r="N17" s="555"/>
      <c r="O17" s="555"/>
      <c r="P17" s="555"/>
      <c r="Q17" s="555"/>
    </row>
    <row r="18" spans="1:17" ht="16">
      <c r="B18" s="555"/>
      <c r="C18" s="555"/>
      <c r="D18" s="555"/>
      <c r="E18" s="555"/>
      <c r="F18" s="555"/>
      <c r="G18" s="555"/>
      <c r="H18" s="555"/>
      <c r="I18" s="555"/>
      <c r="J18" s="555"/>
      <c r="K18" s="555"/>
      <c r="L18" s="555"/>
      <c r="M18" s="555"/>
      <c r="N18" s="555"/>
      <c r="O18" s="555"/>
      <c r="P18" s="555"/>
      <c r="Q18" s="555"/>
    </row>
    <row r="19" spans="1:17" ht="16">
      <c r="A19" s="553" t="s">
        <v>376</v>
      </c>
      <c r="B19" s="555"/>
      <c r="C19" s="555"/>
      <c r="D19" s="555"/>
      <c r="E19" s="555"/>
      <c r="F19" s="555"/>
      <c r="G19" s="555"/>
      <c r="H19" s="555"/>
      <c r="I19" s="555"/>
      <c r="J19" s="555"/>
      <c r="K19" s="555"/>
      <c r="L19" s="555"/>
      <c r="M19" s="555"/>
      <c r="N19" s="555"/>
      <c r="O19" s="555"/>
      <c r="P19" s="555"/>
      <c r="Q19" s="555"/>
    </row>
    <row r="20" spans="1:17" ht="16">
      <c r="B20" s="555"/>
      <c r="C20" s="555"/>
      <c r="D20" s="555"/>
      <c r="E20" s="555"/>
      <c r="F20" s="555"/>
      <c r="G20" s="555"/>
      <c r="H20" s="555"/>
      <c r="I20" s="555"/>
      <c r="J20" s="555"/>
      <c r="K20" s="555"/>
      <c r="L20" s="555"/>
      <c r="M20" s="555"/>
      <c r="N20" s="555"/>
      <c r="O20" s="555"/>
      <c r="P20" s="555"/>
      <c r="Q20" s="555"/>
    </row>
    <row r="21" spans="1:17" ht="16">
      <c r="A21" s="553" t="s">
        <v>377</v>
      </c>
      <c r="B21" s="555"/>
      <c r="C21" s="555"/>
      <c r="D21" s="555"/>
      <c r="E21" s="555"/>
      <c r="F21" s="555"/>
      <c r="G21" s="555"/>
      <c r="H21" s="555"/>
      <c r="I21" s="555"/>
      <c r="J21" s="555"/>
      <c r="K21" s="555"/>
      <c r="L21" s="555"/>
      <c r="M21" s="555"/>
      <c r="N21" s="555"/>
      <c r="O21" s="555"/>
      <c r="P21" s="555"/>
      <c r="Q21" s="555"/>
    </row>
    <row r="22" spans="1:17" ht="16">
      <c r="B22" s="555"/>
      <c r="C22" s="555"/>
      <c r="D22" s="555"/>
      <c r="E22" s="555"/>
      <c r="F22" s="555"/>
      <c r="G22" s="555"/>
      <c r="H22" s="555"/>
      <c r="I22" s="555"/>
      <c r="J22" s="555"/>
      <c r="K22" s="555"/>
      <c r="L22" s="555"/>
      <c r="M22" s="555"/>
      <c r="N22" s="555"/>
      <c r="O22" s="555"/>
      <c r="P22" s="555"/>
      <c r="Q22" s="555"/>
    </row>
    <row r="23" spans="1:17">
      <c r="A23" s="554" t="s">
        <v>378</v>
      </c>
    </row>
    <row r="25" spans="1:17">
      <c r="A25" s="553" t="s">
        <v>379</v>
      </c>
    </row>
    <row r="27" spans="1:17">
      <c r="A27" s="553" t="s">
        <v>380</v>
      </c>
    </row>
    <row r="29" spans="1:17">
      <c r="A29" s="553" t="s">
        <v>381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1B54E-1BC2-7A4D-8688-17804769B2E2}">
  <dimension ref="A1:P65"/>
  <sheetViews>
    <sheetView workbookViewId="0">
      <pane ySplit="4" topLeftCell="A5" activePane="bottomLeft" state="frozen"/>
      <selection pane="bottomLeft" activeCell="H7" sqref="H7"/>
    </sheetView>
  </sheetViews>
  <sheetFormatPr baseColWidth="10" defaultColWidth="11.1640625" defaultRowHeight="15"/>
  <cols>
    <col min="1" max="1" width="2.6640625" customWidth="1"/>
    <col min="2" max="2" width="4.83203125" customWidth="1"/>
    <col min="3" max="3" width="32.6640625" customWidth="1"/>
    <col min="4" max="4" width="9" bestFit="1" customWidth="1"/>
    <col min="5" max="5" width="11.1640625" customWidth="1"/>
    <col min="6" max="6" width="10.1640625" customWidth="1"/>
    <col min="7" max="7" width="11" bestFit="1" customWidth="1"/>
    <col min="8" max="11" width="10.83203125" bestFit="1" customWidth="1"/>
    <col min="14" max="14" width="15.83203125" bestFit="1" customWidth="1"/>
  </cols>
  <sheetData>
    <row r="1" spans="1:13" s="1" customFormat="1" ht="12.75" customHeight="1">
      <c r="A1" s="2" t="s">
        <v>104</v>
      </c>
      <c r="B1" s="3"/>
      <c r="C1" s="2"/>
      <c r="D1" s="4"/>
      <c r="E1" s="4"/>
      <c r="F1" s="2"/>
      <c r="G1" s="2"/>
      <c r="H1" s="2"/>
      <c r="I1" s="2"/>
      <c r="J1" s="2"/>
      <c r="K1" s="2"/>
    </row>
    <row r="2" spans="1:13" s="1" customFormat="1" ht="12.75" customHeight="1">
      <c r="A2" s="5" t="s">
        <v>105</v>
      </c>
      <c r="B2" s="5"/>
      <c r="C2" s="5"/>
      <c r="D2" s="107"/>
      <c r="E2" s="107"/>
      <c r="F2" s="28"/>
      <c r="G2" s="29" t="s">
        <v>2</v>
      </c>
      <c r="H2" s="108"/>
      <c r="I2" s="109"/>
      <c r="J2" s="108"/>
      <c r="K2" s="108"/>
      <c r="L2" s="24"/>
      <c r="M2" s="24"/>
    </row>
    <row r="3" spans="1:13" s="1" customFormat="1" ht="12.75" customHeight="1">
      <c r="A3" s="5"/>
      <c r="B3" s="5"/>
      <c r="C3" s="5"/>
      <c r="D3" s="6"/>
      <c r="E3" s="6"/>
      <c r="F3" s="7"/>
      <c r="G3" s="7"/>
      <c r="H3" s="7"/>
      <c r="I3" s="7"/>
      <c r="J3" s="7"/>
      <c r="K3" s="7"/>
    </row>
    <row r="4" spans="1:13" s="1" customFormat="1" ht="12.75" customHeight="1">
      <c r="A4" s="110" t="s">
        <v>3</v>
      </c>
      <c r="B4" s="363"/>
      <c r="C4" s="111"/>
      <c r="D4" s="113" t="s">
        <v>4</v>
      </c>
      <c r="E4" s="113" t="s">
        <v>5</v>
      </c>
      <c r="F4" s="113" t="s">
        <v>6</v>
      </c>
      <c r="G4" s="114" t="s">
        <v>7</v>
      </c>
      <c r="H4" s="114" t="s">
        <v>8</v>
      </c>
      <c r="I4" s="114" t="s">
        <v>9</v>
      </c>
      <c r="J4" s="114" t="s">
        <v>10</v>
      </c>
      <c r="K4" s="114" t="s">
        <v>11</v>
      </c>
    </row>
    <row r="5" spans="1:13">
      <c r="A5" s="86" t="s">
        <v>106</v>
      </c>
      <c r="B5" s="87"/>
      <c r="C5" s="87"/>
      <c r="D5" s="13"/>
      <c r="E5" s="13"/>
      <c r="F5" s="13"/>
      <c r="G5" s="13"/>
      <c r="H5" s="13"/>
      <c r="I5" s="13"/>
      <c r="J5" s="13"/>
      <c r="K5" s="13"/>
    </row>
    <row r="6" spans="1:13">
      <c r="A6" s="87"/>
      <c r="B6" s="87" t="s">
        <v>107</v>
      </c>
      <c r="C6" s="87"/>
      <c r="D6" s="17">
        <f>43004</f>
        <v>43004</v>
      </c>
      <c r="E6" s="17">
        <f>45754</f>
        <v>45754</v>
      </c>
      <c r="F6" s="17">
        <f>47061</f>
        <v>47061</v>
      </c>
      <c r="G6" s="17"/>
      <c r="H6" s="17"/>
      <c r="I6" s="17"/>
      <c r="J6" s="17"/>
      <c r="K6" s="17"/>
    </row>
    <row r="7" spans="1:13">
      <c r="A7" s="86"/>
      <c r="B7" s="86" t="s">
        <v>107</v>
      </c>
      <c r="C7" s="87"/>
      <c r="D7" s="161">
        <f>D6</f>
        <v>43004</v>
      </c>
      <c r="E7" s="161">
        <f>E6</f>
        <v>45754</v>
      </c>
      <c r="F7" s="161">
        <f>F6</f>
        <v>47061</v>
      </c>
      <c r="G7" s="161">
        <v>48120</v>
      </c>
      <c r="H7" s="161">
        <v>50650</v>
      </c>
      <c r="I7" s="162">
        <f>H7*(1+I8)</f>
        <v>53182.5</v>
      </c>
      <c r="J7" s="162">
        <f>I7*(1+J8)</f>
        <v>55575.712499999994</v>
      </c>
      <c r="K7" s="162">
        <f>J7*(1+K8)</f>
        <v>57798.740999999995</v>
      </c>
    </row>
    <row r="8" spans="1:13">
      <c r="A8" s="87"/>
      <c r="B8" s="87"/>
      <c r="C8" s="87" t="s">
        <v>108</v>
      </c>
      <c r="D8" s="158">
        <v>0.11</v>
      </c>
      <c r="E8" s="78">
        <f>E7/D7-1</f>
        <v>6.3947539763743011E-2</v>
      </c>
      <c r="F8" s="78">
        <f>F7/E7-1</f>
        <v>2.8565808453905772E-2</v>
      </c>
      <c r="G8" s="78">
        <f>G7/F7-1</f>
        <v>2.2502709249697217E-2</v>
      </c>
      <c r="H8" s="78">
        <f>H7/G7-1</f>
        <v>5.2576891105569512E-2</v>
      </c>
      <c r="I8" s="160">
        <v>0.05</v>
      </c>
      <c r="J8" s="160">
        <v>4.4999999999999998E-2</v>
      </c>
      <c r="K8" s="160">
        <v>0.04</v>
      </c>
    </row>
    <row r="9" spans="1:13">
      <c r="A9" s="86" t="s">
        <v>109</v>
      </c>
      <c r="B9" s="87"/>
      <c r="C9" s="87"/>
      <c r="D9" s="77"/>
      <c r="E9" s="77"/>
      <c r="F9" s="77"/>
      <c r="G9" s="118" t="s">
        <v>110</v>
      </c>
      <c r="H9" s="118" t="s">
        <v>110</v>
      </c>
      <c r="I9" s="118" t="s">
        <v>110</v>
      </c>
      <c r="J9" s="118" t="s">
        <v>110</v>
      </c>
      <c r="K9" s="118" t="s">
        <v>110</v>
      </c>
    </row>
    <row r="10" spans="1:13">
      <c r="A10" s="86"/>
      <c r="B10" s="86" t="s">
        <v>111</v>
      </c>
      <c r="C10" s="87"/>
      <c r="D10" s="13">
        <f>18000-D22</f>
        <v>16740</v>
      </c>
      <c r="E10" s="13">
        <f>18520-E22</f>
        <v>17392</v>
      </c>
      <c r="F10" s="13">
        <f>18324-F22</f>
        <v>17249</v>
      </c>
      <c r="G10" s="159">
        <f>G7*G11</f>
        <v>18840.149231848027</v>
      </c>
      <c r="H10" s="159">
        <f>H7*H11</f>
        <v>19324.205706423578</v>
      </c>
      <c r="I10" s="159">
        <f>I7*I11</f>
        <v>20024.503491744756</v>
      </c>
      <c r="J10" s="159">
        <f>J7*J11</f>
        <v>20925.606148873267</v>
      </c>
      <c r="K10" s="159">
        <f>K7*K11</f>
        <v>21762.6303948282</v>
      </c>
    </row>
    <row r="11" spans="1:13">
      <c r="A11" s="86"/>
      <c r="C11" t="s">
        <v>112</v>
      </c>
      <c r="D11" s="78">
        <f>D10/D7</f>
        <v>0.38926611478002049</v>
      </c>
      <c r="E11" s="78">
        <f>E10/E7</f>
        <v>0.38011977094898808</v>
      </c>
      <c r="F11" s="78">
        <f>F10/F7</f>
        <v>0.36652429825120586</v>
      </c>
      <c r="G11" s="155">
        <f>F11+2.5%</f>
        <v>0.39152429825120588</v>
      </c>
      <c r="H11" s="155">
        <f>G11-1%</f>
        <v>0.38152429825120587</v>
      </c>
      <c r="I11" s="155">
        <f>H11-0.5%</f>
        <v>0.37652429825120587</v>
      </c>
      <c r="J11" s="155">
        <f>I11</f>
        <v>0.37652429825120587</v>
      </c>
      <c r="K11" s="155">
        <f>J11</f>
        <v>0.37652429825120587</v>
      </c>
    </row>
    <row r="12" spans="1:13">
      <c r="A12" s="86" t="s">
        <v>113</v>
      </c>
      <c r="B12" s="87"/>
      <c r="C12" s="87"/>
      <c r="D12" s="93">
        <f t="shared" ref="D12:K12" si="0">D7-D10</f>
        <v>26264</v>
      </c>
      <c r="E12" s="93">
        <f>E7-E10</f>
        <v>28362</v>
      </c>
      <c r="F12" s="93">
        <f>F7-F10</f>
        <v>29812</v>
      </c>
      <c r="G12" s="93">
        <f t="shared" si="0"/>
        <v>29279.850768151973</v>
      </c>
      <c r="H12" s="93">
        <f t="shared" si="0"/>
        <v>31325.794293576422</v>
      </c>
      <c r="I12" s="93">
        <f t="shared" si="0"/>
        <v>33157.996508255244</v>
      </c>
      <c r="J12" s="93">
        <f t="shared" si="0"/>
        <v>34650.106351126728</v>
      </c>
      <c r="K12" s="93">
        <f t="shared" si="0"/>
        <v>36036.110605171794</v>
      </c>
    </row>
    <row r="13" spans="1:13">
      <c r="A13" s="86"/>
      <c r="B13" s="87"/>
      <c r="C13" s="87" t="s">
        <v>114</v>
      </c>
      <c r="D13" s="78">
        <f t="shared" ref="D13:K13" si="1">D12/D7</f>
        <v>0.61073388521997951</v>
      </c>
      <c r="E13" s="78">
        <f>E12/E7</f>
        <v>0.61988022905101192</v>
      </c>
      <c r="F13" s="78">
        <f t="shared" si="1"/>
        <v>0.63347570174879408</v>
      </c>
      <c r="G13" s="78">
        <f t="shared" si="1"/>
        <v>0.60847570174879417</v>
      </c>
      <c r="H13" s="78">
        <f t="shared" si="1"/>
        <v>0.61847570174879407</v>
      </c>
      <c r="I13" s="78">
        <f t="shared" si="1"/>
        <v>0.62347570174879419</v>
      </c>
      <c r="J13" s="78">
        <f t="shared" si="1"/>
        <v>0.62347570174879419</v>
      </c>
      <c r="K13" s="78">
        <f t="shared" si="1"/>
        <v>0.62347570174879408</v>
      </c>
    </row>
    <row r="14" spans="1:13">
      <c r="A14" s="86" t="s">
        <v>115</v>
      </c>
      <c r="B14" s="87"/>
      <c r="C14" s="87"/>
      <c r="D14" s="13"/>
      <c r="E14" s="13"/>
      <c r="F14" s="13"/>
      <c r="G14" s="117" t="s">
        <v>110</v>
      </c>
      <c r="H14" s="117" t="s">
        <v>110</v>
      </c>
      <c r="I14" s="117" t="s">
        <v>110</v>
      </c>
      <c r="J14" s="117" t="s">
        <v>110</v>
      </c>
      <c r="K14" s="117" t="s">
        <v>110</v>
      </c>
    </row>
    <row r="15" spans="1:13">
      <c r="A15" s="86"/>
      <c r="B15" s="87" t="s">
        <v>116</v>
      </c>
      <c r="C15" s="87"/>
      <c r="D15" s="13">
        <v>12880</v>
      </c>
      <c r="E15" s="13">
        <v>13972</v>
      </c>
      <c r="F15" s="13">
        <v>14582</v>
      </c>
      <c r="G15" s="159">
        <f>G16*G7</f>
        <v>15150.734506279085</v>
      </c>
      <c r="H15" s="159">
        <f>H16*H7</f>
        <v>15694.063024585112</v>
      </c>
      <c r="I15" s="159">
        <f>I16*I7</f>
        <v>16212.853675814367</v>
      </c>
      <c r="J15" s="159">
        <f>J16*J7</f>
        <v>16664.55352872601</v>
      </c>
      <c r="K15" s="159">
        <f>K16*K7</f>
        <v>17331.135669875053</v>
      </c>
    </row>
    <row r="16" spans="1:13">
      <c r="A16" s="86"/>
      <c r="B16" s="87"/>
      <c r="C16" s="87" t="s">
        <v>117</v>
      </c>
      <c r="D16" s="92">
        <f>D15/D7</f>
        <v>0.29950702260254858</v>
      </c>
      <c r="E16" s="92">
        <f>E15/E7</f>
        <v>0.30537220789439173</v>
      </c>
      <c r="F16" s="92">
        <f>F15/F7</f>
        <v>0.30985316929092027</v>
      </c>
      <c r="G16" s="160">
        <f>F16+0.5%</f>
        <v>0.31485316929092028</v>
      </c>
      <c r="H16" s="160">
        <f>G16-0.5%</f>
        <v>0.30985316929092027</v>
      </c>
      <c r="I16" s="160">
        <f>H16-0.5%</f>
        <v>0.30485316929092027</v>
      </c>
      <c r="J16" s="160">
        <f>I16-0.5%</f>
        <v>0.29985316929092026</v>
      </c>
      <c r="K16" s="160">
        <f>J16</f>
        <v>0.29985316929092026</v>
      </c>
    </row>
    <row r="17" spans="1:16">
      <c r="A17" s="86"/>
      <c r="B17" s="87" t="s">
        <v>118</v>
      </c>
      <c r="C17" s="87"/>
      <c r="D17" s="13">
        <v>1215</v>
      </c>
      <c r="E17" s="13">
        <v>1951</v>
      </c>
      <c r="F17" s="13">
        <v>4163</v>
      </c>
      <c r="G17" s="159">
        <f>G18*G7</f>
        <v>2051.8887966079469</v>
      </c>
      <c r="H17" s="159">
        <f>H18*H7</f>
        <v>1431.0238582457446</v>
      </c>
      <c r="I17" s="159">
        <f>I18*I7</f>
        <v>1502.5750511580318</v>
      </c>
      <c r="J17" s="159">
        <f>J18*J7</f>
        <v>1570.1909284601431</v>
      </c>
      <c r="K17" s="159">
        <f>K18*K7</f>
        <v>1632.9985655985488</v>
      </c>
    </row>
    <row r="18" spans="1:16">
      <c r="A18" s="86"/>
      <c r="B18" s="87"/>
      <c r="C18" s="87" t="s">
        <v>119</v>
      </c>
      <c r="D18" s="92">
        <f>D17/D7</f>
        <v>2.8253185750162776E-2</v>
      </c>
      <c r="E18" s="92">
        <f>E17/E7</f>
        <v>4.2641080561262402E-2</v>
      </c>
      <c r="F18" s="92">
        <f>F17/F7</f>
        <v>8.8459658740783237E-2</v>
      </c>
      <c r="G18" s="160">
        <f>E18</f>
        <v>4.2641080561262402E-2</v>
      </c>
      <c r="H18" s="160">
        <f>D18</f>
        <v>2.8253185750162776E-2</v>
      </c>
      <c r="I18" s="160">
        <f>H18</f>
        <v>2.8253185750162776E-2</v>
      </c>
      <c r="J18" s="160">
        <f t="shared" ref="J18:K18" si="2">I18</f>
        <v>2.8253185750162776E-2</v>
      </c>
      <c r="K18" s="160">
        <f t="shared" si="2"/>
        <v>2.8253185750162776E-2</v>
      </c>
    </row>
    <row r="19" spans="1:16">
      <c r="A19" s="86"/>
      <c r="B19" s="86" t="s">
        <v>120</v>
      </c>
      <c r="C19" s="87"/>
      <c r="D19" s="93">
        <f t="shared" ref="D19:K19" si="3">D15+D17</f>
        <v>14095</v>
      </c>
      <c r="E19" s="93">
        <f t="shared" si="3"/>
        <v>15923</v>
      </c>
      <c r="F19" s="93">
        <f t="shared" si="3"/>
        <v>18745</v>
      </c>
      <c r="G19" s="93">
        <f t="shared" si="3"/>
        <v>17202.62330288703</v>
      </c>
      <c r="H19" s="93">
        <f t="shared" si="3"/>
        <v>17125.086882830856</v>
      </c>
      <c r="I19" s="93">
        <f t="shared" si="3"/>
        <v>17715.428726972401</v>
      </c>
      <c r="J19" s="93">
        <f t="shared" si="3"/>
        <v>18234.744457186152</v>
      </c>
      <c r="K19" s="93">
        <f t="shared" si="3"/>
        <v>18964.134235473601</v>
      </c>
    </row>
    <row r="20" spans="1:16" ht="28.5" customHeight="1">
      <c r="A20" s="86"/>
      <c r="B20" s="86" t="s">
        <v>121</v>
      </c>
      <c r="C20" s="87"/>
      <c r="D20" s="9">
        <f t="shared" ref="D20:K20" si="4">D12-D19</f>
        <v>12169</v>
      </c>
      <c r="E20" s="9">
        <f t="shared" si="4"/>
        <v>12439</v>
      </c>
      <c r="F20" s="9">
        <f t="shared" si="4"/>
        <v>11067</v>
      </c>
      <c r="G20" s="9">
        <f t="shared" si="4"/>
        <v>12077.227465264943</v>
      </c>
      <c r="H20" s="9">
        <f t="shared" si="4"/>
        <v>14200.707410745566</v>
      </c>
      <c r="I20" s="9">
        <f t="shared" si="4"/>
        <v>15442.567781282843</v>
      </c>
      <c r="J20" s="9">
        <f t="shared" si="4"/>
        <v>16415.361893940575</v>
      </c>
      <c r="K20" s="9">
        <f t="shared" si="4"/>
        <v>17071.976369698194</v>
      </c>
      <c r="P20" s="156"/>
    </row>
    <row r="21" spans="1:16">
      <c r="A21" s="86"/>
      <c r="B21" s="87"/>
      <c r="C21" s="87" t="s">
        <v>122</v>
      </c>
      <c r="D21" s="78">
        <f t="shared" ref="D21:K21" si="5">D20/D7</f>
        <v>0.28297367686726815</v>
      </c>
      <c r="E21" s="78">
        <f t="shared" si="5"/>
        <v>0.27186694059535776</v>
      </c>
      <c r="F21" s="78">
        <f t="shared" si="5"/>
        <v>0.23516287371709058</v>
      </c>
      <c r="G21" s="78">
        <f t="shared" si="5"/>
        <v>0.25098145189661147</v>
      </c>
      <c r="H21" s="78">
        <f t="shared" si="5"/>
        <v>0.28036934670771108</v>
      </c>
      <c r="I21" s="78">
        <f t="shared" si="5"/>
        <v>0.29036934670771108</v>
      </c>
      <c r="J21" s="78">
        <f t="shared" si="5"/>
        <v>0.29536934670771114</v>
      </c>
      <c r="K21" s="78">
        <f t="shared" si="5"/>
        <v>0.29536934670771109</v>
      </c>
      <c r="P21" s="156"/>
    </row>
    <row r="22" spans="1:16">
      <c r="A22" s="86"/>
      <c r="B22" s="87" t="s">
        <v>56</v>
      </c>
      <c r="C22" s="87"/>
      <c r="D22" s="13">
        <v>1260</v>
      </c>
      <c r="E22" s="13">
        <v>1128</v>
      </c>
      <c r="F22" s="13">
        <v>1075</v>
      </c>
      <c r="G22" s="12">
        <f>Depreciation!G19</f>
        <v>1048.9377793875517</v>
      </c>
      <c r="H22" s="12">
        <f>Depreciation!H19</f>
        <v>1164.3297655568024</v>
      </c>
      <c r="I22" s="12">
        <f>Depreciation!I19</f>
        <v>1282.5367677011823</v>
      </c>
      <c r="J22" s="12">
        <f>Depreciation!J19</f>
        <v>1402.9755453587261</v>
      </c>
      <c r="K22" s="12">
        <f>Depreciation!K19</f>
        <v>1525.020832955905</v>
      </c>
    </row>
    <row r="23" spans="1:16">
      <c r="B23" s="86" t="s">
        <v>123</v>
      </c>
      <c r="C23" s="87"/>
      <c r="D23" s="93">
        <f t="shared" ref="D23:K23" si="6">D20-D22</f>
        <v>10909</v>
      </c>
      <c r="E23" s="93">
        <f t="shared" si="6"/>
        <v>11311</v>
      </c>
      <c r="F23" s="93">
        <f t="shared" si="6"/>
        <v>9992</v>
      </c>
      <c r="G23" s="93">
        <f t="shared" si="6"/>
        <v>11028.289685877391</v>
      </c>
      <c r="H23" s="93">
        <f t="shared" si="6"/>
        <v>13036.377645188764</v>
      </c>
      <c r="I23" s="93">
        <f t="shared" si="6"/>
        <v>14160.031013581662</v>
      </c>
      <c r="J23" s="93">
        <f t="shared" si="6"/>
        <v>15012.386348581849</v>
      </c>
      <c r="K23" s="93">
        <f t="shared" si="6"/>
        <v>15546.955536742289</v>
      </c>
    </row>
    <row r="24" spans="1:16">
      <c r="A24" s="86"/>
      <c r="C24" s="87" t="s">
        <v>124</v>
      </c>
      <c r="D24" s="78">
        <f t="shared" ref="D24:K24" si="7">D23/D7</f>
        <v>0.25367407683006232</v>
      </c>
      <c r="E24" s="78">
        <f t="shared" si="7"/>
        <v>0.24721335839489444</v>
      </c>
      <c r="F24" s="78">
        <f t="shared" si="7"/>
        <v>0.21232018019166612</v>
      </c>
      <c r="G24" s="78">
        <f t="shared" si="7"/>
        <v>0.22918307742887348</v>
      </c>
      <c r="H24" s="78">
        <f t="shared" si="7"/>
        <v>0.25738159220510887</v>
      </c>
      <c r="I24" s="78">
        <f t="shared" si="7"/>
        <v>0.2662535799103401</v>
      </c>
      <c r="J24" s="78">
        <f t="shared" si="7"/>
        <v>0.27012494619087163</v>
      </c>
      <c r="K24" s="78">
        <f t="shared" si="7"/>
        <v>0.26898432851231641</v>
      </c>
      <c r="L24" s="165"/>
      <c r="M24" s="165"/>
      <c r="N24" s="156"/>
      <c r="O24" s="156"/>
    </row>
    <row r="25" spans="1:16">
      <c r="A25" s="86" t="s">
        <v>125</v>
      </c>
      <c r="B25" s="87"/>
      <c r="C25" s="87"/>
      <c r="D25" s="13">
        <f>-1472</f>
        <v>-1472</v>
      </c>
      <c r="E25" s="13">
        <f>-1691</f>
        <v>-1691</v>
      </c>
      <c r="F25" s="13">
        <f>-1770</f>
        <v>-1770</v>
      </c>
      <c r="G25" s="12">
        <f>E25</f>
        <v>-1691</v>
      </c>
      <c r="H25" s="12">
        <f t="shared" ref="H25:K25" si="8">F25</f>
        <v>-1770</v>
      </c>
      <c r="I25" s="12">
        <f t="shared" si="8"/>
        <v>-1691</v>
      </c>
      <c r="J25" s="12">
        <f t="shared" si="8"/>
        <v>-1770</v>
      </c>
      <c r="K25" s="12">
        <f t="shared" si="8"/>
        <v>-1691</v>
      </c>
      <c r="M25" s="166"/>
    </row>
    <row r="26" spans="1:16">
      <c r="A26" s="86" t="s">
        <v>126</v>
      </c>
      <c r="B26" s="87"/>
      <c r="C26" s="87"/>
      <c r="D26" s="13">
        <f>262</f>
        <v>262</v>
      </c>
      <c r="E26" s="13">
        <f>-570</f>
        <v>-570</v>
      </c>
      <c r="F26" s="13">
        <f>-1992</f>
        <v>-1992</v>
      </c>
      <c r="G26" s="13">
        <f>AVERAGE(E26:F26)</f>
        <v>-1281</v>
      </c>
      <c r="H26" s="13">
        <f>E26</f>
        <v>-570</v>
      </c>
      <c r="I26" s="13">
        <f>D26</f>
        <v>262</v>
      </c>
      <c r="J26" s="13">
        <f>I26</f>
        <v>262</v>
      </c>
      <c r="K26" s="13">
        <f>I26</f>
        <v>262</v>
      </c>
    </row>
    <row r="27" spans="1:16">
      <c r="A27" s="86" t="s">
        <v>127</v>
      </c>
      <c r="B27" s="87"/>
      <c r="C27" s="87"/>
      <c r="D27" s="13"/>
      <c r="E27" s="13"/>
      <c r="F27" s="13"/>
      <c r="G27" s="160"/>
      <c r="H27" s="13"/>
      <c r="I27" s="13"/>
      <c r="J27" s="13"/>
      <c r="K27" s="13"/>
    </row>
    <row r="28" spans="1:16">
      <c r="A28" s="86"/>
      <c r="B28" s="87" t="s">
        <v>128</v>
      </c>
      <c r="C28" s="87"/>
      <c r="D28" s="13">
        <f>882</f>
        <v>882</v>
      </c>
      <c r="E28" s="13">
        <f>1527</f>
        <v>1527</v>
      </c>
      <c r="F28" s="13">
        <f>1656</f>
        <v>1656</v>
      </c>
      <c r="G28" s="167">
        <f>'Debt Schedule'!G39</f>
        <v>2229.3204999999998</v>
      </c>
      <c r="H28" s="167">
        <f>'Debt Schedule'!H39</f>
        <v>2229.3204999999998</v>
      </c>
      <c r="I28" s="167">
        <f>'Debt Schedule'!I39</f>
        <v>2229.3204999999998</v>
      </c>
      <c r="J28" s="167">
        <f>'Debt Schedule'!J39</f>
        <v>2229.3204999999998</v>
      </c>
      <c r="K28" s="167">
        <f>'Debt Schedule'!K39</f>
        <v>2229.3204999999998</v>
      </c>
    </row>
    <row r="29" spans="1:16">
      <c r="A29" s="86"/>
      <c r="B29" s="87" t="s">
        <v>129</v>
      </c>
      <c r="C29" s="87"/>
      <c r="D29" s="77">
        <f>-449</f>
        <v>-449</v>
      </c>
      <c r="E29" s="77">
        <f>-907</f>
        <v>-907</v>
      </c>
      <c r="F29" s="77">
        <f>-988</f>
        <v>-988</v>
      </c>
      <c r="G29" s="168">
        <f ca="1">'Debt Schedule'!G41</f>
        <v>-539.24917294261854</v>
      </c>
      <c r="H29" s="168">
        <f ca="1">'Debt Schedule'!H41</f>
        <v>-857.01016706533824</v>
      </c>
      <c r="I29" s="168">
        <f ca="1">'Debt Schedule'!I41</f>
        <v>-1240.7656134786359</v>
      </c>
      <c r="J29" s="168">
        <f ca="1">'Debt Schedule'!J41</f>
        <v>-1718.1986850370158</v>
      </c>
      <c r="K29" s="168">
        <f ca="1">'Debt Schedule'!K41</f>
        <v>-2176.2248527943984</v>
      </c>
    </row>
    <row r="30" spans="1:16">
      <c r="A30" s="86" t="s">
        <v>130</v>
      </c>
      <c r="B30" s="87"/>
      <c r="C30" s="87"/>
      <c r="D30" s="164">
        <f>D28+D29</f>
        <v>433</v>
      </c>
      <c r="E30" s="164">
        <f t="shared" ref="E30:K30" si="9">E28+E29</f>
        <v>620</v>
      </c>
      <c r="F30" s="164">
        <f t="shared" si="9"/>
        <v>668</v>
      </c>
      <c r="G30" s="164">
        <f t="shared" ca="1" si="9"/>
        <v>1690.0713270573813</v>
      </c>
      <c r="H30" s="164">
        <f t="shared" ca="1" si="9"/>
        <v>1372.3103329346616</v>
      </c>
      <c r="I30" s="164">
        <f t="shared" ca="1" si="9"/>
        <v>988.55488652136387</v>
      </c>
      <c r="J30" s="164">
        <f t="shared" ca="1" si="9"/>
        <v>511.12181496298399</v>
      </c>
      <c r="K30" s="164">
        <f t="shared" ca="1" si="9"/>
        <v>53.095647205601381</v>
      </c>
    </row>
    <row r="31" spans="1:16" ht="19.5" customHeight="1">
      <c r="A31" s="86" t="s">
        <v>131</v>
      </c>
      <c r="B31" s="87"/>
      <c r="C31" s="87"/>
      <c r="D31" s="161">
        <f>D23-D25-D26-D30</f>
        <v>11686</v>
      </c>
      <c r="E31" s="161">
        <f t="shared" ref="E31:K31" si="10">E23-E25-E26-E30</f>
        <v>12952</v>
      </c>
      <c r="F31" s="161">
        <f t="shared" si="10"/>
        <v>13086</v>
      </c>
      <c r="G31" s="161">
        <f t="shared" ca="1" si="10"/>
        <v>12310.21835882001</v>
      </c>
      <c r="H31" s="161">
        <f t="shared" ca="1" si="10"/>
        <v>14004.067312254103</v>
      </c>
      <c r="I31" s="161">
        <f t="shared" ca="1" si="10"/>
        <v>14600.476127060298</v>
      </c>
      <c r="J31" s="161">
        <f t="shared" ca="1" si="10"/>
        <v>16009.264533618867</v>
      </c>
      <c r="K31" s="161">
        <f t="shared" ca="1" si="10"/>
        <v>16922.859889536685</v>
      </c>
    </row>
    <row r="32" spans="1:16">
      <c r="A32" s="86"/>
      <c r="B32" s="87" t="s">
        <v>132</v>
      </c>
      <c r="C32" s="87"/>
      <c r="D32" s="78">
        <f t="shared" ref="D32:K32" si="11">D31/D7</f>
        <v>0.27174216351967256</v>
      </c>
      <c r="E32" s="78">
        <f t="shared" si="11"/>
        <v>0.28307907505354724</v>
      </c>
      <c r="F32" s="78">
        <f t="shared" si="11"/>
        <v>0.27806463951042265</v>
      </c>
      <c r="G32" s="78">
        <f t="shared" ca="1" si="11"/>
        <v>0.25582332416500436</v>
      </c>
      <c r="H32" s="78">
        <f t="shared" ca="1" si="11"/>
        <v>0.27648701504943934</v>
      </c>
      <c r="I32" s="78">
        <f t="shared" ca="1" si="11"/>
        <v>0.27453534766248855</v>
      </c>
      <c r="J32" s="78">
        <f t="shared" ca="1" si="11"/>
        <v>0.28806224542094477</v>
      </c>
      <c r="K32" s="78">
        <f t="shared" ca="1" si="11"/>
        <v>0.29278942061275498</v>
      </c>
    </row>
    <row r="33" spans="1:11">
      <c r="A33" s="86" t="s">
        <v>133</v>
      </c>
      <c r="B33" s="87"/>
      <c r="C33" s="87"/>
      <c r="D33" s="13">
        <f>2115</f>
        <v>2115</v>
      </c>
      <c r="E33" s="13">
        <f>2249</f>
        <v>2249</v>
      </c>
      <c r="F33" s="13">
        <f>2437</f>
        <v>2437</v>
      </c>
      <c r="G33" s="12">
        <f ca="1">G31*G34</f>
        <v>2292.526527620691</v>
      </c>
      <c r="H33" s="12">
        <f t="shared" ref="H33:K33" ca="1" si="12">H31*H34</f>
        <v>2607.971270056797</v>
      </c>
      <c r="I33" s="12">
        <f t="shared" ca="1" si="12"/>
        <v>2719.0402202083101</v>
      </c>
      <c r="J33" s="12">
        <f t="shared" ca="1" si="12"/>
        <v>2981.3982629091533</v>
      </c>
      <c r="K33" s="12">
        <f t="shared" ca="1" si="12"/>
        <v>3151.5367225126779</v>
      </c>
    </row>
    <row r="34" spans="1:11">
      <c r="A34" s="86"/>
      <c r="B34" s="87" t="s">
        <v>134</v>
      </c>
      <c r="C34" s="87"/>
      <c r="D34" s="78">
        <f>D33/D31</f>
        <v>0.18098579496833819</v>
      </c>
      <c r="E34" s="78">
        <f t="shared" ref="E34" si="13">E33/E31</f>
        <v>0.17364113650401483</v>
      </c>
      <c r="F34" s="78">
        <f>F33/F31</f>
        <v>0.18622955830658719</v>
      </c>
      <c r="G34" s="160">
        <f>F34</f>
        <v>0.18622955830658719</v>
      </c>
      <c r="H34" s="160">
        <f>G34</f>
        <v>0.18622955830658719</v>
      </c>
      <c r="I34" s="160">
        <f t="shared" ref="I34:K34" si="14">H34</f>
        <v>0.18622955830658719</v>
      </c>
      <c r="J34" s="160">
        <f t="shared" si="14"/>
        <v>0.18622955830658719</v>
      </c>
      <c r="K34" s="160">
        <f t="shared" si="14"/>
        <v>0.18622955830658719</v>
      </c>
    </row>
    <row r="35" spans="1:11">
      <c r="A35" s="86" t="s">
        <v>135</v>
      </c>
      <c r="B35" s="87"/>
      <c r="C35" s="87"/>
      <c r="D35" s="364">
        <f>D31-D33</f>
        <v>9571</v>
      </c>
      <c r="E35" s="364">
        <f t="shared" ref="E35:K35" si="15">E31-E33</f>
        <v>10703</v>
      </c>
      <c r="F35" s="364">
        <f t="shared" si="15"/>
        <v>10649</v>
      </c>
      <c r="G35" s="364">
        <f t="shared" ca="1" si="15"/>
        <v>10017.691831199318</v>
      </c>
      <c r="H35" s="364">
        <f t="shared" ca="1" si="15"/>
        <v>11396.096042197307</v>
      </c>
      <c r="I35" s="364">
        <f t="shared" ca="1" si="15"/>
        <v>11881.435906851988</v>
      </c>
      <c r="J35" s="364">
        <f t="shared" ca="1" si="15"/>
        <v>13027.866270709714</v>
      </c>
      <c r="K35" s="364">
        <f t="shared" ca="1" si="15"/>
        <v>13771.323167024007</v>
      </c>
    </row>
    <row r="36" spans="1:11">
      <c r="A36" s="86" t="s">
        <v>136</v>
      </c>
      <c r="B36" s="87"/>
      <c r="C36" s="87"/>
      <c r="D36" s="13">
        <f>29</f>
        <v>29</v>
      </c>
      <c r="E36" s="13">
        <f>-11</f>
        <v>-11</v>
      </c>
      <c r="F36" s="13">
        <f>18</f>
        <v>18</v>
      </c>
      <c r="G36" s="13">
        <f>AVERAGE(D36:F36)</f>
        <v>12</v>
      </c>
      <c r="H36" s="13">
        <f>G36</f>
        <v>12</v>
      </c>
      <c r="I36" s="13">
        <f>H36</f>
        <v>12</v>
      </c>
      <c r="J36" s="13">
        <f t="shared" ref="J36:K36" si="16">AVERAGE(G36:I36)</f>
        <v>12</v>
      </c>
      <c r="K36" s="13">
        <f t="shared" si="16"/>
        <v>12</v>
      </c>
    </row>
    <row r="37" spans="1:11" ht="14" customHeight="1">
      <c r="A37" s="86" t="s">
        <v>137</v>
      </c>
      <c r="B37" s="88"/>
      <c r="C37" s="88"/>
      <c r="D37" s="79"/>
      <c r="E37" s="79"/>
      <c r="F37" s="79"/>
      <c r="G37" s="79"/>
      <c r="H37" s="79"/>
      <c r="I37" s="79"/>
      <c r="J37" s="79"/>
      <c r="K37" s="79"/>
    </row>
    <row r="38" spans="1:11" ht="14" customHeight="1">
      <c r="A38" s="86"/>
      <c r="B38" s="88" t="s">
        <v>138</v>
      </c>
      <c r="C38" s="88"/>
      <c r="D38" s="80">
        <v>0</v>
      </c>
      <c r="E38" s="80">
        <v>0</v>
      </c>
      <c r="F38" s="80">
        <v>0</v>
      </c>
      <c r="G38" s="80">
        <v>0</v>
      </c>
      <c r="H38" s="80">
        <v>0</v>
      </c>
      <c r="I38" s="80">
        <v>0</v>
      </c>
      <c r="J38" s="80">
        <v>0</v>
      </c>
      <c r="K38" s="80">
        <v>0</v>
      </c>
    </row>
    <row r="39" spans="1:11" ht="14" customHeight="1">
      <c r="A39" s="86"/>
      <c r="B39" s="88" t="s">
        <v>139</v>
      </c>
      <c r="C39" s="88"/>
      <c r="D39" s="80">
        <v>0</v>
      </c>
      <c r="E39" s="80">
        <v>0</v>
      </c>
      <c r="F39" s="80">
        <v>0</v>
      </c>
      <c r="G39" s="80">
        <v>0</v>
      </c>
      <c r="H39" s="80">
        <v>0</v>
      </c>
      <c r="I39" s="80">
        <v>0</v>
      </c>
      <c r="J39" s="80">
        <v>0</v>
      </c>
      <c r="K39" s="80">
        <v>0</v>
      </c>
    </row>
    <row r="40" spans="1:11" ht="14" customHeight="1">
      <c r="A40" s="86"/>
      <c r="B40" s="88" t="s">
        <v>140</v>
      </c>
      <c r="C40" s="88"/>
      <c r="D40" s="80">
        <v>0</v>
      </c>
      <c r="E40" s="80">
        <v>0</v>
      </c>
      <c r="F40" s="80">
        <v>0</v>
      </c>
      <c r="G40" s="80">
        <v>0</v>
      </c>
      <c r="H40" s="80">
        <v>0</v>
      </c>
      <c r="I40" s="80">
        <v>0</v>
      </c>
      <c r="J40" s="80">
        <v>0</v>
      </c>
      <c r="K40" s="80">
        <v>0</v>
      </c>
    </row>
    <row r="41" spans="1:11" ht="14" customHeight="1">
      <c r="A41" s="86"/>
      <c r="B41" s="88" t="s">
        <v>141</v>
      </c>
      <c r="C41" s="88"/>
      <c r="D41" s="80">
        <v>0</v>
      </c>
      <c r="E41" s="80">
        <v>0</v>
      </c>
      <c r="F41" s="80">
        <v>0</v>
      </c>
      <c r="G41" s="80">
        <v>0</v>
      </c>
      <c r="H41" s="80">
        <v>0</v>
      </c>
      <c r="I41" s="80">
        <v>0</v>
      </c>
      <c r="J41" s="80">
        <v>0</v>
      </c>
      <c r="K41" s="80">
        <v>0</v>
      </c>
    </row>
    <row r="42" spans="1:11" ht="14" customHeight="1">
      <c r="A42" s="86"/>
      <c r="B42" s="88" t="s">
        <v>63</v>
      </c>
      <c r="C42" s="88"/>
      <c r="D42" s="365">
        <v>0</v>
      </c>
      <c r="E42" s="365">
        <v>0</v>
      </c>
      <c r="F42" s="365">
        <v>0</v>
      </c>
      <c r="G42" s="365">
        <v>0</v>
      </c>
      <c r="H42" s="365">
        <v>0</v>
      </c>
      <c r="I42" s="365">
        <v>0</v>
      </c>
      <c r="J42" s="365">
        <v>0</v>
      </c>
      <c r="K42" s="365">
        <v>0</v>
      </c>
    </row>
    <row r="43" spans="1:11" ht="14" customHeight="1">
      <c r="A43" s="86"/>
      <c r="B43" s="89" t="s">
        <v>142</v>
      </c>
      <c r="C43" s="88"/>
      <c r="D43" s="81">
        <f>SUM(D38:D42)</f>
        <v>0</v>
      </c>
      <c r="E43" s="81">
        <f t="shared" ref="E43:K43" si="17">SUM(E38:E42)</f>
        <v>0</v>
      </c>
      <c r="F43" s="81">
        <f t="shared" si="17"/>
        <v>0</v>
      </c>
      <c r="G43" s="81">
        <f t="shared" si="17"/>
        <v>0</v>
      </c>
      <c r="H43" s="81">
        <f t="shared" si="17"/>
        <v>0</v>
      </c>
      <c r="I43" s="81">
        <f t="shared" si="17"/>
        <v>0</v>
      </c>
      <c r="J43" s="81">
        <f t="shared" si="17"/>
        <v>0</v>
      </c>
      <c r="K43" s="81">
        <f t="shared" si="17"/>
        <v>0</v>
      </c>
    </row>
    <row r="44" spans="1:11" ht="14" customHeight="1">
      <c r="A44" s="86"/>
      <c r="B44" s="89" t="s">
        <v>143</v>
      </c>
      <c r="C44" s="90"/>
      <c r="D44" s="82">
        <f>D35-D43-D36</f>
        <v>9542</v>
      </c>
      <c r="E44" s="82">
        <f t="shared" ref="E44:K44" si="18">E35-E43-E36</f>
        <v>10714</v>
      </c>
      <c r="F44" s="82">
        <f t="shared" si="18"/>
        <v>10631</v>
      </c>
      <c r="G44" s="82">
        <f t="shared" ca="1" si="18"/>
        <v>10005.691831199318</v>
      </c>
      <c r="H44" s="82">
        <f t="shared" ca="1" si="18"/>
        <v>11384.096042197307</v>
      </c>
      <c r="I44" s="82">
        <f t="shared" ca="1" si="18"/>
        <v>11869.435906851988</v>
      </c>
      <c r="J44" s="82">
        <f t="shared" ca="1" si="18"/>
        <v>13015.866270709714</v>
      </c>
      <c r="K44" s="82">
        <f t="shared" ca="1" si="18"/>
        <v>13759.323167024007</v>
      </c>
    </row>
    <row r="45" spans="1:11" ht="14" customHeight="1">
      <c r="A45" s="86"/>
      <c r="B45" s="88" t="s">
        <v>141</v>
      </c>
      <c r="C45" s="88"/>
      <c r="D45" s="80">
        <v>0</v>
      </c>
      <c r="E45" s="80">
        <v>0</v>
      </c>
      <c r="F45" s="80">
        <v>0</v>
      </c>
      <c r="G45" s="80">
        <v>0</v>
      </c>
      <c r="H45" s="80">
        <v>0</v>
      </c>
      <c r="I45" s="80">
        <v>0</v>
      </c>
      <c r="J45" s="80">
        <v>0</v>
      </c>
      <c r="K45" s="80">
        <v>0</v>
      </c>
    </row>
    <row r="46" spans="1:11" ht="14" customHeight="1">
      <c r="A46" s="86"/>
      <c r="B46" s="88" t="s">
        <v>144</v>
      </c>
      <c r="C46" s="91"/>
      <c r="D46" s="365">
        <v>0</v>
      </c>
      <c r="E46" s="365">
        <v>0</v>
      </c>
      <c r="F46" s="365">
        <v>0</v>
      </c>
      <c r="G46" s="365">
        <v>0</v>
      </c>
      <c r="H46" s="365">
        <v>0</v>
      </c>
      <c r="I46" s="365">
        <v>0</v>
      </c>
      <c r="J46" s="365">
        <v>0</v>
      </c>
      <c r="K46" s="365">
        <v>0</v>
      </c>
    </row>
    <row r="47" spans="1:11" ht="14" customHeight="1">
      <c r="A47" s="86"/>
      <c r="B47" s="88"/>
      <c r="C47" s="91" t="s">
        <v>145</v>
      </c>
      <c r="D47" s="83">
        <v>0</v>
      </c>
      <c r="E47" s="83">
        <v>0</v>
      </c>
      <c r="F47" s="83">
        <v>0</v>
      </c>
      <c r="G47" s="83">
        <v>0</v>
      </c>
      <c r="H47" s="83">
        <v>0</v>
      </c>
      <c r="I47" s="83">
        <v>0</v>
      </c>
      <c r="J47" s="83">
        <v>0</v>
      </c>
      <c r="K47" s="83">
        <v>0</v>
      </c>
    </row>
    <row r="48" spans="1:11">
      <c r="A48" s="86" t="s">
        <v>146</v>
      </c>
      <c r="B48" s="87"/>
      <c r="C48" s="87"/>
      <c r="D48" s="84">
        <f>D35-D36</f>
        <v>9542</v>
      </c>
      <c r="E48" s="84">
        <f>E35-E36</f>
        <v>10714</v>
      </c>
      <c r="F48" s="84">
        <f>F35-F36</f>
        <v>10631</v>
      </c>
      <c r="G48" s="84">
        <f t="shared" ref="G48:K48" ca="1" si="19">G35-G36</f>
        <v>10005.691831199318</v>
      </c>
      <c r="H48" s="84">
        <f t="shared" ca="1" si="19"/>
        <v>11384.096042197307</v>
      </c>
      <c r="I48" s="84">
        <f t="shared" ca="1" si="19"/>
        <v>11869.435906851988</v>
      </c>
      <c r="J48" s="84">
        <f t="shared" ca="1" si="19"/>
        <v>13015.866270709714</v>
      </c>
      <c r="K48" s="84">
        <f t="shared" ca="1" si="19"/>
        <v>13759.323167024007</v>
      </c>
    </row>
    <row r="49" spans="1:15" ht="16" thickTop="1">
      <c r="A49" s="86" t="s">
        <v>147</v>
      </c>
      <c r="B49" s="87"/>
      <c r="C49" s="87"/>
      <c r="D49" s="13"/>
      <c r="E49" s="13"/>
      <c r="F49" s="13"/>
      <c r="G49" s="13"/>
      <c r="H49" s="13"/>
      <c r="I49" s="13"/>
      <c r="J49" s="13"/>
      <c r="K49" s="13"/>
    </row>
    <row r="50" spans="1:15">
      <c r="A50" s="86"/>
      <c r="B50" s="87" t="s">
        <v>148</v>
      </c>
      <c r="C50" s="87"/>
      <c r="D50" s="76">
        <f>D48/D54</f>
        <v>2.2047134935304991</v>
      </c>
      <c r="E50" s="76">
        <f>E48/E54</f>
        <v>2.4783715012722647</v>
      </c>
      <c r="F50" s="76">
        <f>F48/F54</f>
        <v>2.4671617544673938</v>
      </c>
      <c r="G50" s="76">
        <f t="shared" ref="G50:K50" ca="1" si="20">G48/G54</f>
        <v>2.3220449828728982</v>
      </c>
      <c r="H50" s="76">
        <f t="shared" ca="1" si="20"/>
        <v>2.6419345653741719</v>
      </c>
      <c r="I50" s="76">
        <f t="shared" ca="1" si="20"/>
        <v>2.7545685557790645</v>
      </c>
      <c r="J50" s="76">
        <f t="shared" ca="1" si="20"/>
        <v>3.0206234093083579</v>
      </c>
      <c r="K50" s="76">
        <f t="shared" ca="1" si="20"/>
        <v>3.1931592404325846</v>
      </c>
    </row>
    <row r="51" spans="1:15">
      <c r="A51" s="86"/>
      <c r="B51" s="87" t="s">
        <v>149</v>
      </c>
      <c r="C51" s="87"/>
      <c r="D51" s="76">
        <f>D48/D55</f>
        <v>2.1935632183908047</v>
      </c>
      <c r="E51" s="76">
        <f>E48/E55</f>
        <v>2.4692325420603827</v>
      </c>
      <c r="F51" s="76">
        <f>F48/F55</f>
        <v>2.4608796296296296</v>
      </c>
      <c r="G51" s="76">
        <f t="shared" ref="G51:K51" ca="1" si="21">G48/G55</f>
        <v>2.3161323683331756</v>
      </c>
      <c r="H51" s="76">
        <f t="shared" ca="1" si="21"/>
        <v>2.6352074171753026</v>
      </c>
      <c r="I51" s="76">
        <f t="shared" ca="1" si="21"/>
        <v>2.7475546080675897</v>
      </c>
      <c r="J51" s="76">
        <f t="shared" ca="1" si="21"/>
        <v>3.0129320071087302</v>
      </c>
      <c r="K51" s="76">
        <f t="shared" ca="1" si="21"/>
        <v>3.185028510885187</v>
      </c>
    </row>
    <row r="52" spans="1:15">
      <c r="A52" s="86" t="s">
        <v>150</v>
      </c>
      <c r="B52" s="87"/>
      <c r="C52" s="87"/>
      <c r="D52" s="13">
        <v>22</v>
      </c>
      <c r="E52" s="13">
        <v>16</v>
      </c>
      <c r="F52" s="13">
        <v>11</v>
      </c>
      <c r="G52" s="13">
        <v>12</v>
      </c>
      <c r="H52" s="13">
        <v>13</v>
      </c>
      <c r="I52" s="13">
        <v>14</v>
      </c>
      <c r="J52" s="13">
        <v>15</v>
      </c>
      <c r="K52" s="13">
        <v>16</v>
      </c>
    </row>
    <row r="53" spans="1:15">
      <c r="A53" s="86" t="s">
        <v>151</v>
      </c>
      <c r="B53" s="87"/>
      <c r="C53" s="87"/>
      <c r="D53" s="13"/>
      <c r="E53" s="13"/>
      <c r="F53" s="13"/>
      <c r="G53" s="13"/>
      <c r="H53" s="13"/>
      <c r="I53" s="13"/>
      <c r="J53" s="13"/>
      <c r="K53" s="13"/>
    </row>
    <row r="54" spans="1:15">
      <c r="A54" s="86"/>
      <c r="B54" s="87" t="s">
        <v>148</v>
      </c>
      <c r="C54" s="87"/>
      <c r="D54" s="13">
        <v>4328</v>
      </c>
      <c r="E54" s="13">
        <v>4323</v>
      </c>
      <c r="F54" s="13">
        <v>4309</v>
      </c>
      <c r="G54" s="13">
        <f>F54</f>
        <v>4309</v>
      </c>
      <c r="H54" s="13">
        <f t="shared" ref="H54:K54" si="22">G54</f>
        <v>4309</v>
      </c>
      <c r="I54" s="13">
        <f t="shared" si="22"/>
        <v>4309</v>
      </c>
      <c r="J54" s="13">
        <f t="shared" si="22"/>
        <v>4309</v>
      </c>
      <c r="K54" s="13">
        <f t="shared" si="22"/>
        <v>4309</v>
      </c>
    </row>
    <row r="55" spans="1:15">
      <c r="A55" s="86"/>
      <c r="B55" s="87" t="s">
        <v>149</v>
      </c>
      <c r="C55" s="87"/>
      <c r="D55" s="13">
        <v>4350</v>
      </c>
      <c r="E55" s="13">
        <v>4339</v>
      </c>
      <c r="F55" s="13">
        <v>4320</v>
      </c>
      <c r="G55" s="13">
        <f>F55</f>
        <v>4320</v>
      </c>
      <c r="H55" s="13">
        <f t="shared" ref="H55:K55" si="23">G55</f>
        <v>4320</v>
      </c>
      <c r="I55" s="13">
        <f t="shared" si="23"/>
        <v>4320</v>
      </c>
      <c r="J55" s="13">
        <f t="shared" si="23"/>
        <v>4320</v>
      </c>
      <c r="K55" s="13">
        <f t="shared" si="23"/>
        <v>4320</v>
      </c>
    </row>
    <row r="57" spans="1:15">
      <c r="C57" s="183"/>
    </row>
    <row r="58" spans="1:15">
      <c r="C58" t="s">
        <v>101</v>
      </c>
      <c r="D58" s="163">
        <v>2022</v>
      </c>
      <c r="E58" s="163">
        <v>2023</v>
      </c>
      <c r="F58" s="163">
        <v>2024</v>
      </c>
      <c r="G58" s="163">
        <v>2025</v>
      </c>
      <c r="H58" s="163">
        <v>2026</v>
      </c>
      <c r="I58" s="163">
        <v>2027</v>
      </c>
      <c r="J58" s="163">
        <v>2028</v>
      </c>
      <c r="K58" s="163">
        <v>2029</v>
      </c>
      <c r="L58" t="s">
        <v>152</v>
      </c>
    </row>
    <row r="59" spans="1:15">
      <c r="C59" t="s">
        <v>106</v>
      </c>
      <c r="D59" s="533">
        <f t="shared" ref="D59:K59" si="24">D7</f>
        <v>43004</v>
      </c>
      <c r="E59" s="533">
        <f t="shared" si="24"/>
        <v>45754</v>
      </c>
      <c r="F59" s="533">
        <f t="shared" si="24"/>
        <v>47061</v>
      </c>
      <c r="G59" s="533">
        <f t="shared" si="24"/>
        <v>48120</v>
      </c>
      <c r="H59" s="533">
        <f t="shared" si="24"/>
        <v>50650</v>
      </c>
      <c r="I59" s="533">
        <f t="shared" si="24"/>
        <v>53182.5</v>
      </c>
      <c r="J59" s="533">
        <f t="shared" si="24"/>
        <v>55575.712499999994</v>
      </c>
      <c r="K59" s="533">
        <f t="shared" si="24"/>
        <v>57798.740999999995</v>
      </c>
      <c r="L59" s="157">
        <f t="shared" ref="L59:L64" si="25">((K59/D59)^(1/7))-1</f>
        <v>4.3143888299659539E-2</v>
      </c>
      <c r="M59" s="532"/>
      <c r="N59" s="407" t="s">
        <v>101</v>
      </c>
      <c r="O59" s="407" t="s">
        <v>152</v>
      </c>
    </row>
    <row r="60" spans="1:15">
      <c r="C60" t="s">
        <v>153</v>
      </c>
      <c r="D60" s="533">
        <f t="shared" ref="D60:K60" si="26">D10</f>
        <v>16740</v>
      </c>
      <c r="E60" s="533">
        <f t="shared" si="26"/>
        <v>17392</v>
      </c>
      <c r="F60" s="533">
        <f t="shared" si="26"/>
        <v>17249</v>
      </c>
      <c r="G60" s="533">
        <f t="shared" si="26"/>
        <v>18840.149231848027</v>
      </c>
      <c r="H60" s="533">
        <f t="shared" si="26"/>
        <v>19324.205706423578</v>
      </c>
      <c r="I60" s="533">
        <f t="shared" si="26"/>
        <v>20024.503491744756</v>
      </c>
      <c r="J60" s="533">
        <f t="shared" si="26"/>
        <v>20925.606148873267</v>
      </c>
      <c r="K60" s="533">
        <f t="shared" si="26"/>
        <v>21762.6303948282</v>
      </c>
      <c r="L60" s="157">
        <f t="shared" si="25"/>
        <v>3.81961617607951E-2</v>
      </c>
      <c r="N60" s="407" t="s">
        <v>281</v>
      </c>
      <c r="O60" s="540">
        <v>5.5E-2</v>
      </c>
    </row>
    <row r="61" spans="1:15">
      <c r="C61" t="s">
        <v>154</v>
      </c>
      <c r="D61" s="533">
        <f t="shared" ref="D61:K61" si="27">D19</f>
        <v>14095</v>
      </c>
      <c r="E61" s="533">
        <f t="shared" si="27"/>
        <v>15923</v>
      </c>
      <c r="F61" s="533">
        <f t="shared" si="27"/>
        <v>18745</v>
      </c>
      <c r="G61" s="533">
        <f t="shared" si="27"/>
        <v>17202.62330288703</v>
      </c>
      <c r="H61" s="533">
        <f t="shared" si="27"/>
        <v>17125.086882830856</v>
      </c>
      <c r="I61" s="533">
        <f t="shared" si="27"/>
        <v>17715.428726972401</v>
      </c>
      <c r="J61" s="533">
        <f t="shared" si="27"/>
        <v>18234.744457186152</v>
      </c>
      <c r="K61" s="533">
        <f t="shared" si="27"/>
        <v>18964.134235473601</v>
      </c>
      <c r="L61" s="157">
        <f t="shared" si="25"/>
        <v>4.3301197327975327E-2</v>
      </c>
      <c r="N61" s="407" t="s">
        <v>364</v>
      </c>
      <c r="O61" s="540">
        <v>5.3999999999999999E-2</v>
      </c>
    </row>
    <row r="62" spans="1:15">
      <c r="C62" t="s">
        <v>155</v>
      </c>
      <c r="D62" s="533">
        <f t="shared" ref="D62:K62" si="28">D31</f>
        <v>11686</v>
      </c>
      <c r="E62" s="533">
        <f t="shared" si="28"/>
        <v>12952</v>
      </c>
      <c r="F62" s="533">
        <f t="shared" si="28"/>
        <v>13086</v>
      </c>
      <c r="G62" s="533">
        <f t="shared" ca="1" si="28"/>
        <v>12310.21835882001</v>
      </c>
      <c r="H62" s="533">
        <f t="shared" ca="1" si="28"/>
        <v>14004.067312254103</v>
      </c>
      <c r="I62" s="533">
        <f t="shared" ca="1" si="28"/>
        <v>14600.476127060298</v>
      </c>
      <c r="J62" s="533">
        <f t="shared" ca="1" si="28"/>
        <v>16009.264533618867</v>
      </c>
      <c r="K62" s="533">
        <f t="shared" ca="1" si="28"/>
        <v>16922.859889536685</v>
      </c>
      <c r="L62" s="157">
        <f t="shared" ca="1" si="25"/>
        <v>5.4320264256705997E-2</v>
      </c>
      <c r="N62" s="407" t="s">
        <v>123</v>
      </c>
      <c r="O62" s="540">
        <v>5.3999999999999999E-2</v>
      </c>
    </row>
    <row r="63" spans="1:15">
      <c r="C63" t="s">
        <v>156</v>
      </c>
      <c r="D63" s="533">
        <f t="shared" ref="D63:K63" si="29">D48</f>
        <v>9542</v>
      </c>
      <c r="E63" s="533">
        <f t="shared" si="29"/>
        <v>10714</v>
      </c>
      <c r="F63" s="533">
        <f t="shared" si="29"/>
        <v>10631</v>
      </c>
      <c r="G63" s="533">
        <f t="shared" ca="1" si="29"/>
        <v>10005.691831199318</v>
      </c>
      <c r="H63" s="533">
        <f t="shared" ca="1" si="29"/>
        <v>11384.096042197307</v>
      </c>
      <c r="I63" s="533">
        <f t="shared" ca="1" si="29"/>
        <v>11869.435906851988</v>
      </c>
      <c r="J63" s="533">
        <f t="shared" ca="1" si="29"/>
        <v>13015.866270709714</v>
      </c>
      <c r="K63" s="533">
        <f t="shared" ca="1" si="29"/>
        <v>13759.323167024007</v>
      </c>
      <c r="L63" s="157">
        <f t="shared" ca="1" si="25"/>
        <v>5.3678787485646362E-2</v>
      </c>
      <c r="N63" s="541" t="s">
        <v>154</v>
      </c>
      <c r="O63" s="540">
        <v>4.2999999999999997E-2</v>
      </c>
    </row>
    <row r="64" spans="1:15">
      <c r="C64" t="s">
        <v>157</v>
      </c>
      <c r="D64" s="531">
        <v>2.1935632183908047</v>
      </c>
      <c r="E64" s="531">
        <v>2.4692325420603827</v>
      </c>
      <c r="F64" s="531">
        <v>2.4608796296296296</v>
      </c>
      <c r="G64" s="531">
        <v>2.3161323683331756</v>
      </c>
      <c r="H64" s="531">
        <v>2.6352074171753026</v>
      </c>
      <c r="I64" s="531">
        <v>2.7475546080675897</v>
      </c>
      <c r="J64" s="531">
        <v>3.0129320071087302</v>
      </c>
      <c r="K64" s="531">
        <v>3.185028510885187</v>
      </c>
      <c r="L64" s="157">
        <f t="shared" si="25"/>
        <v>5.4721005991062555E-2</v>
      </c>
      <c r="N64" s="407" t="s">
        <v>106</v>
      </c>
      <c r="O64" s="540">
        <v>4.2999999999999997E-2</v>
      </c>
    </row>
    <row r="65" spans="14:15">
      <c r="N65" s="407" t="s">
        <v>153</v>
      </c>
      <c r="O65" s="540">
        <v>3.7999999999999999E-2</v>
      </c>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44"/>
  <sheetViews>
    <sheetView workbookViewId="0">
      <pane ySplit="5" topLeftCell="A6" activePane="bottomLeft" state="frozen"/>
      <selection pane="bottomLeft" activeCell="E42" sqref="E42"/>
    </sheetView>
  </sheetViews>
  <sheetFormatPr baseColWidth="10" defaultColWidth="9" defaultRowHeight="15"/>
  <cols>
    <col min="2" max="2" width="36.1640625" customWidth="1"/>
    <col min="3" max="3" width="16" customWidth="1"/>
    <col min="6" max="6" width="9.1640625"/>
    <col min="7" max="11" width="9.33203125" bestFit="1" customWidth="1"/>
    <col min="13" max="13" width="18" bestFit="1" customWidth="1"/>
    <col min="14" max="14" width="17.6640625" bestFit="1" customWidth="1"/>
    <col min="15" max="15" width="17" bestFit="1" customWidth="1"/>
  </cols>
  <sheetData>
    <row r="2" spans="1:16" s="1" customFormat="1" ht="12.75" customHeight="1">
      <c r="A2" s="2" t="s">
        <v>0</v>
      </c>
      <c r="B2" s="3"/>
      <c r="C2" s="2"/>
      <c r="D2" s="4"/>
      <c r="E2" s="4"/>
      <c r="F2" s="2"/>
      <c r="G2" s="2"/>
      <c r="H2" s="2"/>
      <c r="I2" s="2"/>
      <c r="J2" s="2"/>
      <c r="K2" s="2"/>
    </row>
    <row r="3" spans="1:16" s="1" customFormat="1" ht="12.75" customHeight="1">
      <c r="A3" s="5" t="s">
        <v>1</v>
      </c>
      <c r="B3" s="5"/>
      <c r="C3" s="5"/>
      <c r="D3" s="107"/>
      <c r="E3" s="107"/>
      <c r="F3" s="28"/>
      <c r="G3" s="29" t="s">
        <v>2</v>
      </c>
      <c r="H3" s="108"/>
      <c r="I3" s="109"/>
      <c r="J3" s="108"/>
      <c r="K3" s="108"/>
      <c r="L3" s="24"/>
      <c r="M3" s="24"/>
    </row>
    <row r="4" spans="1:16" s="1" customFormat="1" ht="12.75" customHeight="1">
      <c r="A4" s="5"/>
      <c r="B4" s="5"/>
      <c r="C4" s="5"/>
      <c r="D4" s="6"/>
      <c r="E4" s="6"/>
      <c r="F4" s="7"/>
      <c r="G4" s="7"/>
      <c r="H4" s="7"/>
      <c r="I4" s="7"/>
      <c r="J4" s="7"/>
      <c r="K4" s="7"/>
    </row>
    <row r="5" spans="1:16" s="1" customFormat="1" ht="12.75" customHeight="1">
      <c r="A5" s="110" t="s">
        <v>3</v>
      </c>
      <c r="B5" s="5"/>
      <c r="C5" s="111"/>
      <c r="D5" s="113" t="s">
        <v>4</v>
      </c>
      <c r="E5" s="113" t="s">
        <v>5</v>
      </c>
      <c r="F5" s="113" t="s">
        <v>6</v>
      </c>
      <c r="G5" s="114" t="s">
        <v>7</v>
      </c>
      <c r="H5" s="114" t="s">
        <v>8</v>
      </c>
      <c r="I5" s="114" t="s">
        <v>9</v>
      </c>
      <c r="J5" s="114" t="s">
        <v>10</v>
      </c>
      <c r="K5" s="114" t="s">
        <v>11</v>
      </c>
    </row>
    <row r="6" spans="1:16" s="1" customFormat="1" ht="21" customHeight="1">
      <c r="A6" s="8" t="s">
        <v>12</v>
      </c>
      <c r="B6" s="8"/>
      <c r="C6" s="8"/>
      <c r="D6" s="8"/>
      <c r="E6" s="8"/>
      <c r="F6" s="8"/>
      <c r="G6" s="9"/>
      <c r="H6" s="9"/>
      <c r="I6" s="9"/>
      <c r="J6" s="9"/>
      <c r="K6" s="9"/>
    </row>
    <row r="7" spans="1:16" s="1" customFormat="1" ht="12.75" customHeight="1">
      <c r="A7" s="10"/>
      <c r="B7" s="11" t="s">
        <v>13</v>
      </c>
      <c r="C7" s="10"/>
      <c r="D7" s="10"/>
      <c r="E7" s="10"/>
      <c r="F7" s="10"/>
      <c r="G7" s="10"/>
      <c r="H7" s="10"/>
      <c r="I7" s="10"/>
      <c r="J7" s="10"/>
      <c r="K7" s="10"/>
    </row>
    <row r="8" spans="1:16" s="1" customFormat="1" ht="12.75" customHeight="1">
      <c r="A8" s="10"/>
      <c r="B8" s="10" t="s">
        <v>14</v>
      </c>
      <c r="C8" s="10"/>
      <c r="D8" s="13">
        <v>9519</v>
      </c>
      <c r="E8" s="13">
        <v>9366</v>
      </c>
      <c r="F8" s="13">
        <v>10828</v>
      </c>
      <c r="G8" s="12">
        <f ca="1">F8+'Cash Flow'!G48</f>
        <v>11910.075799018483</v>
      </c>
      <c r="H8" s="12">
        <f ca="1">G8+'Cash Flow'!H48</f>
        <v>10731.515576850814</v>
      </c>
      <c r="I8" s="12">
        <f ca="1">H8+'Cash Flow'!I48</f>
        <v>13741.008935371736</v>
      </c>
      <c r="J8" s="12">
        <f ca="1">I8+'Cash Flow'!J48</f>
        <v>17531.739758587166</v>
      </c>
      <c r="K8" s="12">
        <f ca="1">J8+'Cash Flow'!K48</f>
        <v>17433.815535490652</v>
      </c>
    </row>
    <row r="9" spans="1:16" s="1" customFormat="1" ht="12.75" hidden="1" customHeight="1">
      <c r="A9" s="10"/>
      <c r="B9" s="10" t="s">
        <v>15</v>
      </c>
      <c r="C9" s="10"/>
      <c r="D9" s="13">
        <v>1069</v>
      </c>
      <c r="E9" s="13">
        <v>1300</v>
      </c>
      <c r="F9" s="13">
        <v>1723</v>
      </c>
      <c r="G9" s="12"/>
      <c r="H9" s="12"/>
      <c r="I9" s="12"/>
      <c r="J9" s="12"/>
      <c r="K9" s="12"/>
    </row>
    <row r="10" spans="1:16" s="1" customFormat="1" ht="12.75" customHeight="1">
      <c r="A10" s="10"/>
      <c r="B10" s="10" t="s">
        <v>16</v>
      </c>
      <c r="C10" s="10"/>
      <c r="D10" s="13">
        <v>4233</v>
      </c>
      <c r="E10" s="13">
        <v>4424</v>
      </c>
      <c r="F10" s="13">
        <v>4728</v>
      </c>
      <c r="G10" s="12">
        <f>F10-'Cash Flow'!G19</f>
        <v>4998.1171595418027</v>
      </c>
      <c r="H10" s="12">
        <f>G10-'Cash Flow'!H19</f>
        <v>5126.5328606060802</v>
      </c>
      <c r="I10" s="12">
        <f>H10-'Cash Flow'!I19</f>
        <v>5312.315379339324</v>
      </c>
      <c r="J10" s="12">
        <f>I10-'Cash Flow'!J19</f>
        <v>5551.369571409592</v>
      </c>
      <c r="K10" s="12">
        <f>J10-'Cash Flow'!K19</f>
        <v>5773.4243542659769</v>
      </c>
    </row>
    <row r="11" spans="1:16" s="1" customFormat="1" ht="12.75" customHeight="1">
      <c r="A11" s="10"/>
      <c r="B11" s="10" t="s">
        <v>17</v>
      </c>
      <c r="C11" s="10"/>
      <c r="D11" s="13">
        <v>3487</v>
      </c>
      <c r="E11" s="13">
        <v>3410</v>
      </c>
      <c r="F11" s="13">
        <v>3569</v>
      </c>
      <c r="G11" s="12">
        <f>F11-'Cash Flow'!G18</f>
        <v>3568.0232039268185</v>
      </c>
      <c r="H11" s="12">
        <f>G11-'Cash Flow'!H18</f>
        <v>3755.6187713818235</v>
      </c>
      <c r="I11" s="12">
        <f>H11-'Cash Flow'!I18</f>
        <v>3943.3997099509147</v>
      </c>
      <c r="J11" s="12">
        <f>I11-'Cash Flow'!J18</f>
        <v>4120.8526968987053</v>
      </c>
      <c r="K11" s="12">
        <f>J11-'Cash Flow'!K18</f>
        <v>4285.6868047746539</v>
      </c>
    </row>
    <row r="12" spans="1:16" s="1" customFormat="1" ht="12.75" customHeight="1">
      <c r="A12" s="10"/>
      <c r="B12" s="10" t="s">
        <v>18</v>
      </c>
      <c r="C12" s="10"/>
      <c r="D12" s="13">
        <f>D13+D9</f>
        <v>2112</v>
      </c>
      <c r="E12" s="13">
        <f t="shared" ref="E12:F12" si="0">E13+E9</f>
        <v>4297</v>
      </c>
      <c r="F12" s="13">
        <f t="shared" si="0"/>
        <v>3743</v>
      </c>
      <c r="G12" s="12">
        <f>F12-'Cash Flow'!G27-'Cash Flow'!G28</f>
        <v>2723</v>
      </c>
      <c r="H12" s="12">
        <f>G12-'Cash Flow'!H27-'Cash Flow'!H28</f>
        <v>5067</v>
      </c>
      <c r="I12" s="12">
        <f>H12-'Cash Flow'!I27-'Cash Flow'!I28</f>
        <v>4118</v>
      </c>
      <c r="J12" s="12">
        <f>I12-'Cash Flow'!J27-'Cash Flow'!J28</f>
        <v>3098</v>
      </c>
      <c r="K12" s="12">
        <f>J12-'Cash Flow'!K27-'Cash Flow'!K28</f>
        <v>5442</v>
      </c>
    </row>
    <row r="13" spans="1:16" s="1" customFormat="1" ht="12.75" hidden="1" customHeight="1">
      <c r="A13" s="10"/>
      <c r="B13" s="10" t="s">
        <v>19</v>
      </c>
      <c r="C13" s="10"/>
      <c r="D13" s="13">
        <v>1043</v>
      </c>
      <c r="E13" s="13">
        <v>2997</v>
      </c>
      <c r="F13" s="13">
        <v>2020</v>
      </c>
      <c r="G13" s="12"/>
      <c r="H13" s="12"/>
      <c r="I13" s="12"/>
      <c r="J13" s="12"/>
      <c r="K13" s="12"/>
      <c r="N13" s="94"/>
      <c r="O13" s="94"/>
      <c r="P13" s="94"/>
    </row>
    <row r="14" spans="1:16" s="1" customFormat="1" ht="12.75" customHeight="1">
      <c r="A14" s="10"/>
      <c r="B14" s="14" t="s">
        <v>20</v>
      </c>
      <c r="C14" s="14"/>
      <c r="D14" s="15">
        <v>3240</v>
      </c>
      <c r="E14" s="15">
        <v>5235</v>
      </c>
      <c r="F14" s="15">
        <v>3129</v>
      </c>
      <c r="G14" s="16">
        <f>F14-'Cash Flow'!G20-'Cash Flow'!G16</f>
        <v>3439.8965405534041</v>
      </c>
      <c r="H14" s="16">
        <f>G14-'Cash Flow'!H20-'Cash Flow'!H16</f>
        <v>3024.5982045344699</v>
      </c>
      <c r="I14" s="16">
        <f>H14-'Cash Flow'!I20-'Cash Flow'!I16</f>
        <v>2758.3031707761311</v>
      </c>
      <c r="J14" s="16">
        <f>I14-'Cash Flow'!J20-'Cash Flow'!J16</f>
        <v>2476.1622469966651</v>
      </c>
      <c r="K14" s="16">
        <f>J14-'Cash Flow'!K20-'Cash Flow'!K16</f>
        <v>2240.8887368765318</v>
      </c>
      <c r="N14" s="94"/>
      <c r="O14" s="94"/>
      <c r="P14" s="94"/>
    </row>
    <row r="15" spans="1:16" s="1" customFormat="1" ht="12.75" customHeight="1">
      <c r="A15" s="10"/>
      <c r="B15" s="11" t="s">
        <v>21</v>
      </c>
      <c r="C15" s="11"/>
      <c r="D15" s="9">
        <f>SUM(D10:D12)+D14+D8</f>
        <v>22591</v>
      </c>
      <c r="E15" s="9">
        <f t="shared" ref="E15:K15" si="1">SUM(E10:E12)+E14+E8</f>
        <v>26732</v>
      </c>
      <c r="F15" s="9">
        <f t="shared" si="1"/>
        <v>25997</v>
      </c>
      <c r="G15" s="9">
        <f t="shared" ca="1" si="1"/>
        <v>26639.112703040508</v>
      </c>
      <c r="H15" s="9">
        <f t="shared" ca="1" si="1"/>
        <v>27705.265413373185</v>
      </c>
      <c r="I15" s="9">
        <f t="shared" ca="1" si="1"/>
        <v>29873.027195438106</v>
      </c>
      <c r="J15" s="9">
        <f t="shared" ca="1" si="1"/>
        <v>32778.124273892128</v>
      </c>
      <c r="K15" s="9">
        <f t="shared" ca="1" si="1"/>
        <v>35175.815431407813</v>
      </c>
      <c r="N15" s="94"/>
      <c r="O15" s="94"/>
      <c r="P15" s="94"/>
    </row>
    <row r="16" spans="1:16" s="1" customFormat="1" ht="12.75" customHeight="1">
      <c r="A16" s="10"/>
      <c r="B16" s="10" t="s">
        <v>22</v>
      </c>
      <c r="C16" s="10"/>
      <c r="D16" s="13">
        <v>9841</v>
      </c>
      <c r="E16" s="13">
        <v>9236</v>
      </c>
      <c r="F16" s="13">
        <v>10303</v>
      </c>
      <c r="G16" s="12">
        <f>F16-'Cash Flow'!G31-'Cash Flow'!G8</f>
        <v>11275.487704133835</v>
      </c>
      <c r="H16" s="12">
        <f>G16-'Cash Flow'!H31-'Cash Flow'!H8</f>
        <v>12188.213689623546</v>
      </c>
      <c r="I16" s="12">
        <f>H16-'Cash Flow'!I31-'Cash Flow'!I8</f>
        <v>13033.402960521204</v>
      </c>
      <c r="J16" s="12">
        <f>I16-'Cash Flow'!J31-'Cash Flow'!J8</f>
        <v>13798.325412998265</v>
      </c>
      <c r="K16" s="12">
        <f>J16-'Cash Flow'!K31-'Cash Flow'!K8</f>
        <v>14470.119756791579</v>
      </c>
      <c r="M16" s="55"/>
      <c r="N16" s="94"/>
      <c r="O16" s="94"/>
      <c r="P16" s="94"/>
    </row>
    <row r="17" spans="1:16" s="1" customFormat="1" ht="12.75" customHeight="1">
      <c r="A17" s="10"/>
      <c r="B17" s="10" t="s">
        <v>23</v>
      </c>
      <c r="C17" s="10"/>
      <c r="D17" s="13">
        <v>14214</v>
      </c>
      <c r="E17" s="13">
        <v>14349</v>
      </c>
      <c r="F17" s="13">
        <v>13301</v>
      </c>
      <c r="G17" s="12">
        <f>F17</f>
        <v>13301</v>
      </c>
      <c r="H17" s="12">
        <f t="shared" ref="H17:K17" si="2">G17</f>
        <v>13301</v>
      </c>
      <c r="I17" s="12">
        <f t="shared" si="2"/>
        <v>13301</v>
      </c>
      <c r="J17" s="12">
        <f t="shared" si="2"/>
        <v>13301</v>
      </c>
      <c r="K17" s="12">
        <f t="shared" si="2"/>
        <v>13301</v>
      </c>
      <c r="M17" s="55"/>
      <c r="N17" s="95"/>
      <c r="O17" s="95"/>
      <c r="P17" s="95"/>
    </row>
    <row r="18" spans="1:16" s="1" customFormat="1" ht="12.75" customHeight="1">
      <c r="A18" s="10"/>
      <c r="B18" s="10" t="s">
        <v>24</v>
      </c>
      <c r="C18" s="10"/>
      <c r="D18" s="13">
        <v>18782</v>
      </c>
      <c r="E18" s="13">
        <v>18358</v>
      </c>
      <c r="F18" s="13">
        <v>18139</v>
      </c>
      <c r="G18" s="12">
        <f>F18</f>
        <v>18139</v>
      </c>
      <c r="H18" s="12">
        <f t="shared" ref="H18:K18" si="3">G18</f>
        <v>18139</v>
      </c>
      <c r="I18" s="12">
        <f t="shared" si="3"/>
        <v>18139</v>
      </c>
      <c r="J18" s="12">
        <f t="shared" si="3"/>
        <v>18139</v>
      </c>
      <c r="K18" s="12">
        <f t="shared" si="3"/>
        <v>18139</v>
      </c>
      <c r="M18" s="55"/>
    </row>
    <row r="19" spans="1:16" s="1" customFormat="1" ht="12.75" customHeight="1">
      <c r="A19" s="10"/>
      <c r="B19" s="10" t="s">
        <v>25</v>
      </c>
      <c r="C19" s="10"/>
      <c r="D19" s="13">
        <v>18264</v>
      </c>
      <c r="E19" s="13">
        <v>19671</v>
      </c>
      <c r="F19" s="13">
        <v>18087</v>
      </c>
      <c r="G19" s="12">
        <f>F19-'Cash Flow'!G29-'Cash Flow'!G30</f>
        <v>17710.5</v>
      </c>
      <c r="H19" s="12">
        <f>G19-'Cash Flow'!H29-'Cash Flow'!H30</f>
        <v>17334</v>
      </c>
      <c r="I19" s="12">
        <f>H19-'Cash Flow'!I29-'Cash Flow'!I30</f>
        <v>16957.5</v>
      </c>
      <c r="J19" s="12">
        <f>I19-'Cash Flow'!J29-'Cash Flow'!J30</f>
        <v>16581</v>
      </c>
      <c r="K19" s="12">
        <f>J19-'Cash Flow'!K29-'Cash Flow'!K30</f>
        <v>16204.5</v>
      </c>
      <c r="M19" s="55"/>
    </row>
    <row r="20" spans="1:16" s="1" customFormat="1" ht="12.75" customHeight="1">
      <c r="A20" s="10"/>
      <c r="B20" s="10" t="s">
        <v>26</v>
      </c>
      <c r="C20" s="10"/>
      <c r="D20" s="13">
        <v>1746</v>
      </c>
      <c r="E20" s="13">
        <v>1561</v>
      </c>
      <c r="F20" s="13">
        <v>1319</v>
      </c>
      <c r="G20" s="12">
        <f>F20</f>
        <v>1319</v>
      </c>
      <c r="H20" s="12">
        <f t="shared" ref="H20:K20" si="4">G20</f>
        <v>1319</v>
      </c>
      <c r="I20" s="12">
        <f t="shared" si="4"/>
        <v>1319</v>
      </c>
      <c r="J20" s="12">
        <f t="shared" si="4"/>
        <v>1319</v>
      </c>
      <c r="K20" s="12">
        <f t="shared" si="4"/>
        <v>1319</v>
      </c>
      <c r="M20" s="55"/>
    </row>
    <row r="21" spans="1:16" s="1" customFormat="1" ht="12.75" customHeight="1">
      <c r="A21" s="10"/>
      <c r="B21" s="10" t="s">
        <v>27</v>
      </c>
      <c r="C21" s="10"/>
      <c r="D21" s="13">
        <f>501+6189+635</f>
        <v>7325</v>
      </c>
      <c r="E21" s="13">
        <f>516+118+7162</f>
        <v>7796</v>
      </c>
      <c r="F21" s="13">
        <v>13403</v>
      </c>
      <c r="G21" s="12">
        <f>F21-'Cash Flow'!G35</f>
        <v>13063.5</v>
      </c>
      <c r="H21" s="12">
        <f>G21-'Cash Flow'!H35</f>
        <v>12724</v>
      </c>
      <c r="I21" s="12">
        <f>H21-'Cash Flow'!I35</f>
        <v>12384.5</v>
      </c>
      <c r="J21" s="12">
        <f>I21-'Cash Flow'!J35</f>
        <v>12045</v>
      </c>
      <c r="K21" s="12">
        <f>J21-'Cash Flow'!K35</f>
        <v>11705.5</v>
      </c>
      <c r="M21" s="55"/>
    </row>
    <row r="22" spans="1:16" s="1" customFormat="1" ht="12.75" customHeight="1">
      <c r="A22" s="10"/>
      <c r="B22" s="11" t="s">
        <v>28</v>
      </c>
      <c r="C22" s="11"/>
      <c r="D22" s="9">
        <f>SUM(D15:D21)</f>
        <v>92763</v>
      </c>
      <c r="E22" s="9">
        <f>SUM(E15:E21)</f>
        <v>97703</v>
      </c>
      <c r="F22" s="9">
        <f>SUM(F15:F21)</f>
        <v>100549</v>
      </c>
      <c r="G22" s="9">
        <f t="shared" ref="G22:K22" ca="1" si="5">SUM(G15:G21)</f>
        <v>101447.60040717435</v>
      </c>
      <c r="H22" s="9">
        <f t="shared" ca="1" si="5"/>
        <v>102710.47910299673</v>
      </c>
      <c r="I22" s="9">
        <f t="shared" ca="1" si="5"/>
        <v>105007.4301559593</v>
      </c>
      <c r="J22" s="9">
        <f t="shared" ca="1" si="5"/>
        <v>107961.4496868904</v>
      </c>
      <c r="K22" s="9">
        <f t="shared" ca="1" si="5"/>
        <v>110314.93518819939</v>
      </c>
    </row>
    <row r="23" spans="1:16" s="1" customFormat="1" ht="21" customHeight="1">
      <c r="A23" s="11" t="s">
        <v>29</v>
      </c>
      <c r="B23" s="10"/>
      <c r="C23" s="11"/>
      <c r="D23" s="11"/>
      <c r="E23" s="11"/>
      <c r="F23" s="11"/>
      <c r="G23" s="11"/>
      <c r="H23" s="11"/>
      <c r="I23" s="11"/>
      <c r="J23" s="11"/>
      <c r="K23" s="11"/>
    </row>
    <row r="24" spans="1:16" s="1" customFormat="1" ht="12.75" customHeight="1">
      <c r="A24" s="10"/>
      <c r="B24" s="11" t="s">
        <v>30</v>
      </c>
      <c r="C24" s="10"/>
      <c r="D24" s="10"/>
      <c r="E24" s="10"/>
      <c r="F24" s="10"/>
      <c r="G24" s="10"/>
      <c r="H24" s="10"/>
      <c r="I24" s="10"/>
      <c r="J24" s="10"/>
      <c r="K24" s="10"/>
    </row>
    <row r="25" spans="1:16" s="1" customFormat="1" ht="12.75" customHeight="1">
      <c r="A25" s="10"/>
      <c r="B25" s="10" t="s">
        <v>31</v>
      </c>
      <c r="C25" s="10"/>
      <c r="D25" s="13">
        <v>15749</v>
      </c>
      <c r="E25" s="13">
        <v>15485</v>
      </c>
      <c r="F25" s="13">
        <v>21715</v>
      </c>
      <c r="G25" s="12">
        <f>F25+'Cash Flow'!G21</f>
        <v>16895.691990843687</v>
      </c>
      <c r="H25" s="12">
        <f>G25+'Cash Flow'!H21</f>
        <v>17086.25551152293</v>
      </c>
      <c r="I25" s="12">
        <f>H25+'Cash Flow'!I21</f>
        <v>17691.265840003176</v>
      </c>
      <c r="J25" s="12">
        <f>I25+'Cash Flow'!J21</f>
        <v>18357.112274195708</v>
      </c>
      <c r="K25" s="12">
        <f>J25+'Cash Flow'!K21</f>
        <v>19091.396765163536</v>
      </c>
      <c r="M25" s="185"/>
    </row>
    <row r="26" spans="1:16" s="1" customFormat="1" ht="12.75" hidden="1" customHeight="1">
      <c r="A26" s="10"/>
      <c r="B26" s="10" t="s">
        <v>32</v>
      </c>
      <c r="C26" s="10"/>
      <c r="D26" s="13">
        <v>2373</v>
      </c>
      <c r="E26" s="13">
        <v>4557</v>
      </c>
      <c r="F26" s="13">
        <v>1499</v>
      </c>
      <c r="G26" s="12"/>
      <c r="H26" s="12"/>
      <c r="I26" s="12"/>
      <c r="J26" s="12"/>
      <c r="K26" s="12"/>
    </row>
    <row r="27" spans="1:16" s="1" customFormat="1" ht="12.75" hidden="1" customHeight="1">
      <c r="A27" s="10"/>
      <c r="B27" s="10" t="s">
        <v>33</v>
      </c>
      <c r="C27" s="10"/>
      <c r="D27" s="13">
        <v>399</v>
      </c>
      <c r="E27" s="13">
        <v>1960</v>
      </c>
      <c r="F27" s="13">
        <v>648</v>
      </c>
      <c r="G27" s="12"/>
      <c r="H27" s="12"/>
      <c r="I27" s="12"/>
      <c r="J27" s="12"/>
      <c r="K27" s="12"/>
    </row>
    <row r="28" spans="1:16" s="1" customFormat="1" ht="12.75" customHeight="1">
      <c r="A28" s="10"/>
      <c r="B28" s="10" t="s">
        <v>34</v>
      </c>
      <c r="C28" s="10"/>
      <c r="D28" s="13">
        <f>D26+D27</f>
        <v>2772</v>
      </c>
      <c r="E28" s="13">
        <f t="shared" ref="E28:F28" si="6">E26+E27</f>
        <v>6517</v>
      </c>
      <c r="F28" s="13">
        <f t="shared" si="6"/>
        <v>2147</v>
      </c>
      <c r="G28" s="12">
        <f>F28+'Cash Flow'!G40</f>
        <v>2648.5</v>
      </c>
      <c r="H28" s="12">
        <f>G28+'Cash Flow'!H40</f>
        <v>3046</v>
      </c>
      <c r="I28" s="12">
        <f>H28+'Cash Flow'!I40</f>
        <v>3547.5</v>
      </c>
      <c r="J28" s="12">
        <f>I28+'Cash Flow'!J40</f>
        <v>3945</v>
      </c>
      <c r="K28" s="12">
        <f>J28+'Cash Flow'!K40</f>
        <v>4446.5</v>
      </c>
      <c r="M28" s="185"/>
    </row>
    <row r="29" spans="1:16" s="1" customFormat="1" ht="12.75" customHeight="1">
      <c r="A29" s="10"/>
      <c r="B29" s="10" t="s">
        <v>35</v>
      </c>
      <c r="C29" s="10"/>
      <c r="D29" s="17">
        <v>1203</v>
      </c>
      <c r="E29" s="17">
        <v>1569</v>
      </c>
      <c r="F29" s="17">
        <v>1387</v>
      </c>
      <c r="G29" s="18">
        <f ca="1">F29+'Cash Flow'!G22</f>
        <v>1390.3792399767672</v>
      </c>
      <c r="H29" s="18">
        <f ca="1">G29+'Cash Flow'!H22</f>
        <v>1581.6912339531991</v>
      </c>
      <c r="I29" s="18">
        <f ca="1">H29+'Cash Flow'!I22</f>
        <v>1649.0527063881339</v>
      </c>
      <c r="J29" s="18">
        <f ca="1">I29+'Cash Flow'!J22</f>
        <v>1808.1684992120347</v>
      </c>
      <c r="K29" s="18">
        <f ca="1">J29+'Cash Flow'!K22</f>
        <v>1911.3546474656291</v>
      </c>
      <c r="M29" s="185"/>
    </row>
    <row r="30" spans="1:16" s="1" customFormat="1" ht="12.75" customHeight="1">
      <c r="A30" s="10"/>
      <c r="B30" s="11" t="s">
        <v>36</v>
      </c>
      <c r="C30" s="11"/>
      <c r="D30" s="9">
        <f>SUM(D28:D29)+D25</f>
        <v>19724</v>
      </c>
      <c r="E30" s="9">
        <f t="shared" ref="E30:K30" si="7">SUM(E28:E29)+E25</f>
        <v>23571</v>
      </c>
      <c r="F30" s="9">
        <f t="shared" si="7"/>
        <v>25249</v>
      </c>
      <c r="G30" s="9">
        <f t="shared" ca="1" si="7"/>
        <v>20934.571230820453</v>
      </c>
      <c r="H30" s="9">
        <f t="shared" ca="1" si="7"/>
        <v>21713.946745476129</v>
      </c>
      <c r="I30" s="9">
        <f t="shared" ca="1" si="7"/>
        <v>22887.818546391311</v>
      </c>
      <c r="J30" s="9">
        <f t="shared" ca="1" si="7"/>
        <v>24110.280773407743</v>
      </c>
      <c r="K30" s="9">
        <f t="shared" ca="1" si="7"/>
        <v>25449.251412629164</v>
      </c>
    </row>
    <row r="31" spans="1:16" s="1" customFormat="1" ht="12.75" customHeight="1">
      <c r="A31" s="10"/>
      <c r="B31" s="10" t="s">
        <v>37</v>
      </c>
      <c r="C31" s="10"/>
      <c r="D31" s="13">
        <v>36377</v>
      </c>
      <c r="E31" s="13">
        <v>35547</v>
      </c>
      <c r="F31" s="13">
        <v>42375</v>
      </c>
      <c r="G31" s="12">
        <f>F31</f>
        <v>42375</v>
      </c>
      <c r="H31" s="12">
        <f t="shared" ref="H31:K31" si="8">G31</f>
        <v>42375</v>
      </c>
      <c r="I31" s="12">
        <f t="shared" si="8"/>
        <v>42375</v>
      </c>
      <c r="J31" s="12">
        <f t="shared" si="8"/>
        <v>42375</v>
      </c>
      <c r="K31" s="12">
        <f t="shared" si="8"/>
        <v>42375</v>
      </c>
      <c r="M31" s="185"/>
    </row>
    <row r="32" spans="1:16" s="1" customFormat="1" ht="12.75" customHeight="1">
      <c r="A32" s="10"/>
      <c r="B32" s="10" t="s">
        <v>38</v>
      </c>
      <c r="C32" s="10"/>
      <c r="D32" s="13">
        <v>7922</v>
      </c>
      <c r="E32" s="13">
        <v>8466</v>
      </c>
      <c r="F32" s="13">
        <v>4084</v>
      </c>
      <c r="G32" s="12">
        <f>F32+'Cash Flow'!G23</f>
        <v>8194</v>
      </c>
      <c r="H32" s="12">
        <f>G32+'Cash Flow'!H23</f>
        <v>8194</v>
      </c>
      <c r="I32" s="12">
        <f>H32+'Cash Flow'!I23</f>
        <v>8194</v>
      </c>
      <c r="J32" s="12">
        <f>I32+'Cash Flow'!J23</f>
        <v>8194</v>
      </c>
      <c r="K32" s="12">
        <f>J32+'Cash Flow'!K23</f>
        <v>8194</v>
      </c>
      <c r="M32" s="185"/>
    </row>
    <row r="33" spans="1:16" s="1" customFormat="1" ht="12.75" customHeight="1">
      <c r="A33" s="10"/>
      <c r="B33" s="10" t="s">
        <v>39</v>
      </c>
      <c r="C33" s="10"/>
      <c r="D33" s="17">
        <v>2914</v>
      </c>
      <c r="E33" s="17">
        <v>2639</v>
      </c>
      <c r="F33" s="17">
        <v>2469</v>
      </c>
      <c r="G33" s="18">
        <f>F33</f>
        <v>2469</v>
      </c>
      <c r="H33" s="18">
        <f t="shared" ref="H33:K33" si="9">G33</f>
        <v>2469</v>
      </c>
      <c r="I33" s="18">
        <f t="shared" si="9"/>
        <v>2469</v>
      </c>
      <c r="J33" s="18">
        <f t="shared" si="9"/>
        <v>2469</v>
      </c>
      <c r="K33" s="18">
        <f t="shared" si="9"/>
        <v>2469</v>
      </c>
      <c r="M33" s="185"/>
    </row>
    <row r="34" spans="1:16" s="1" customFormat="1" ht="12.75" customHeight="1">
      <c r="A34" s="10"/>
      <c r="B34" s="11" t="s">
        <v>40</v>
      </c>
      <c r="C34" s="11"/>
      <c r="D34" s="9">
        <f>SUM(D30:D33)</f>
        <v>66937</v>
      </c>
      <c r="E34" s="9">
        <f>SUM(E30:E33)</f>
        <v>70223</v>
      </c>
      <c r="F34" s="9">
        <f>SUM(F30:F33)</f>
        <v>74177</v>
      </c>
      <c r="G34" s="9">
        <f t="shared" ref="G34:K34" ca="1" si="10">SUM(G30:G33)</f>
        <v>73972.571230820453</v>
      </c>
      <c r="H34" s="9">
        <f t="shared" ca="1" si="10"/>
        <v>74751.946745476132</v>
      </c>
      <c r="I34" s="9">
        <f t="shared" ca="1" si="10"/>
        <v>75925.818546391311</v>
      </c>
      <c r="J34" s="9">
        <f t="shared" ca="1" si="10"/>
        <v>77148.280773407751</v>
      </c>
      <c r="K34" s="9">
        <f t="shared" ca="1" si="10"/>
        <v>78487.251412629164</v>
      </c>
    </row>
    <row r="35" spans="1:16" s="1" customFormat="1" ht="21" customHeight="1">
      <c r="A35" s="11" t="s">
        <v>41</v>
      </c>
      <c r="B35" s="10"/>
      <c r="C35" s="11"/>
      <c r="D35" s="11"/>
      <c r="E35" s="11"/>
      <c r="F35" s="11"/>
      <c r="G35" s="11"/>
      <c r="H35" s="11"/>
      <c r="I35" s="11"/>
      <c r="J35" s="11"/>
      <c r="K35" s="11"/>
    </row>
    <row r="36" spans="1:16" s="1" customFormat="1" ht="12.75" customHeight="1">
      <c r="A36" s="10"/>
      <c r="B36" s="10" t="s">
        <v>42</v>
      </c>
      <c r="C36" s="10"/>
      <c r="D36" s="13">
        <f>1760+18822</f>
        <v>20582</v>
      </c>
      <c r="E36" s="13">
        <f>1760+19209</f>
        <v>20969</v>
      </c>
      <c r="F36" s="13">
        <f>1760+19801</f>
        <v>21561</v>
      </c>
      <c r="G36" s="12">
        <f>F36+'Cash Flow'!G41</f>
        <v>22268.666666666668</v>
      </c>
      <c r="H36" s="12">
        <f>G36+'Cash Flow'!H41</f>
        <v>22933.222222222223</v>
      </c>
      <c r="I36" s="12">
        <f>H36+'Cash Flow'!I41</f>
        <v>23639.629629629631</v>
      </c>
      <c r="J36" s="12">
        <f>I36+'Cash Flow'!J41</f>
        <v>24332.506172839509</v>
      </c>
      <c r="K36" s="12">
        <f>J36+'Cash Flow'!K41</f>
        <v>25020.452674897122</v>
      </c>
      <c r="M36" s="186"/>
    </row>
    <row r="37" spans="1:16" s="1" customFormat="1" ht="12.75" customHeight="1">
      <c r="A37" s="10"/>
      <c r="B37" s="10" t="s">
        <v>43</v>
      </c>
      <c r="C37" s="10"/>
      <c r="D37" s="13">
        <v>-52601</v>
      </c>
      <c r="E37" s="13">
        <v>-54535</v>
      </c>
      <c r="F37" s="13">
        <v>-55916</v>
      </c>
      <c r="G37" s="12">
        <f>F37+'Cash Flow'!G42</f>
        <v>-57334</v>
      </c>
      <c r="H37" s="12">
        <f>G37+'Cash Flow'!H42</f>
        <v>-59623</v>
      </c>
      <c r="I37" s="12">
        <f>H37+'Cash Flow'!I42</f>
        <v>-61418</v>
      </c>
      <c r="J37" s="12">
        <f>I37+'Cash Flow'!J42</f>
        <v>-62836</v>
      </c>
      <c r="K37" s="12">
        <f>J37+'Cash Flow'!K42</f>
        <v>-65125</v>
      </c>
      <c r="M37" s="186"/>
    </row>
    <row r="38" spans="1:16" s="1" customFormat="1" ht="12.75" customHeight="1">
      <c r="A38" s="10"/>
      <c r="B38" s="10" t="s">
        <v>44</v>
      </c>
      <c r="C38" s="10"/>
      <c r="D38" s="13">
        <v>-14895</v>
      </c>
      <c r="E38" s="13">
        <v>-14275</v>
      </c>
      <c r="F38" s="13">
        <v>-16843</v>
      </c>
      <c r="G38" s="12">
        <f>F38+'Cash Flow'!G47</f>
        <v>-17466</v>
      </c>
      <c r="H38" s="12">
        <f>G38+'Cash Flow'!H47</f>
        <v>-18089</v>
      </c>
      <c r="I38" s="12">
        <f>H38+'Cash Flow'!I47</f>
        <v>-18712</v>
      </c>
      <c r="J38" s="12">
        <f>I38+'Cash Flow'!J47</f>
        <v>-19335</v>
      </c>
      <c r="K38" s="12">
        <f>J38+'Cash Flow'!K47</f>
        <v>-19958</v>
      </c>
      <c r="M38" s="186"/>
    </row>
    <row r="39" spans="1:16" s="1" customFormat="1" ht="12.75" customHeight="1">
      <c r="A39" s="10"/>
      <c r="B39" s="10" t="s">
        <v>45</v>
      </c>
      <c r="C39" s="10"/>
      <c r="D39" s="13">
        <v>1721</v>
      </c>
      <c r="E39" s="13">
        <v>1539</v>
      </c>
      <c r="F39" s="13">
        <v>1516</v>
      </c>
      <c r="G39" s="12">
        <f>F39</f>
        <v>1516</v>
      </c>
      <c r="H39" s="12">
        <f t="shared" ref="H39:K39" si="11">G39</f>
        <v>1516</v>
      </c>
      <c r="I39" s="12">
        <f t="shared" si="11"/>
        <v>1516</v>
      </c>
      <c r="J39" s="12">
        <f t="shared" si="11"/>
        <v>1516</v>
      </c>
      <c r="K39" s="12">
        <f t="shared" si="11"/>
        <v>1516</v>
      </c>
    </row>
    <row r="40" spans="1:16" s="1" customFormat="1" ht="12.75" customHeight="1">
      <c r="A40" s="10"/>
      <c r="B40" s="10" t="s">
        <v>46</v>
      </c>
      <c r="C40" s="10"/>
      <c r="D40" s="17">
        <v>71019</v>
      </c>
      <c r="E40" s="17">
        <v>73782</v>
      </c>
      <c r="F40" s="17">
        <v>76054</v>
      </c>
      <c r="G40" s="18">
        <f ca="1">F40+'Cash Flow'!G7+'Cash Flow'!G9+'Cash Flow'!G43</f>
        <v>78490.362509687227</v>
      </c>
      <c r="H40" s="18">
        <f ca="1">G40+'Cash Flow'!H7+'Cash Flow'!H9+'Cash Flow'!H43</f>
        <v>81221.310135298394</v>
      </c>
      <c r="I40" s="18">
        <f ca="1">H40+'Cash Flow'!I7+'Cash Flow'!I9+'Cash Flow'!I43</f>
        <v>84055.981979938384</v>
      </c>
      <c r="J40" s="18">
        <f ca="1">I40+'Cash Flow'!J7+'Cash Flow'!J9+'Cash Flow'!J43</f>
        <v>87135.662740643151</v>
      </c>
      <c r="K40" s="18">
        <f ca="1">J40+'Cash Flow'!K7+'Cash Flow'!K9+'Cash Flow'!K43</f>
        <v>90374.231100673118</v>
      </c>
    </row>
    <row r="41" spans="1:16" s="1" customFormat="1" ht="12.75" customHeight="1">
      <c r="A41" s="10"/>
      <c r="B41" s="11" t="s">
        <v>47</v>
      </c>
      <c r="C41" s="11"/>
      <c r="D41" s="19">
        <f>SUM(D36:D40)</f>
        <v>25826</v>
      </c>
      <c r="E41" s="19">
        <f>SUM(E36:E40)</f>
        <v>27480</v>
      </c>
      <c r="F41" s="19">
        <f>SUM(F36:F40)</f>
        <v>26372</v>
      </c>
      <c r="G41" s="19">
        <f t="shared" ref="G41:K41" ca="1" si="12">SUM(G36:G40)</f>
        <v>27475.029176353899</v>
      </c>
      <c r="H41" s="19">
        <f t="shared" ca="1" si="12"/>
        <v>27958.532357520613</v>
      </c>
      <c r="I41" s="19">
        <f t="shared" ca="1" si="12"/>
        <v>29081.611609568019</v>
      </c>
      <c r="J41" s="19">
        <f t="shared" ca="1" si="12"/>
        <v>30813.168913482659</v>
      </c>
      <c r="K41" s="19">
        <f t="shared" ca="1" si="12"/>
        <v>31827.683775570244</v>
      </c>
      <c r="M41" s="184"/>
      <c r="N41" s="184"/>
      <c r="O41" s="184"/>
      <c r="P41" s="184"/>
    </row>
    <row r="42" spans="1:16" s="1" customFormat="1" ht="21" customHeight="1">
      <c r="A42" s="10"/>
      <c r="B42" s="11" t="s">
        <v>48</v>
      </c>
      <c r="C42" s="11"/>
      <c r="D42" s="20">
        <f>D41+D34</f>
        <v>92763</v>
      </c>
      <c r="E42" s="20">
        <f>E41+E34</f>
        <v>97703</v>
      </c>
      <c r="F42" s="20">
        <f>F41+F34</f>
        <v>100549</v>
      </c>
      <c r="G42" s="20">
        <f t="shared" ref="G42:K42" ca="1" si="13">G41+G34</f>
        <v>101447.60040717435</v>
      </c>
      <c r="H42" s="20">
        <f t="shared" ca="1" si="13"/>
        <v>102710.47910299675</v>
      </c>
      <c r="I42" s="20">
        <f t="shared" ca="1" si="13"/>
        <v>105007.43015595933</v>
      </c>
      <c r="J42" s="20">
        <f t="shared" ca="1" si="13"/>
        <v>107961.44968689041</v>
      </c>
      <c r="K42" s="20">
        <f t="shared" ca="1" si="13"/>
        <v>110314.93518819941</v>
      </c>
      <c r="M42" s="184"/>
      <c r="N42" s="184"/>
      <c r="O42" s="184"/>
    </row>
    <row r="43" spans="1:16" s="1" customFormat="1" ht="21" customHeight="1">
      <c r="A43" s="11" t="s">
        <v>49</v>
      </c>
      <c r="B43" s="10"/>
      <c r="C43" s="11"/>
      <c r="D43" s="9"/>
      <c r="E43" s="9"/>
      <c r="F43" s="9"/>
      <c r="G43" s="9"/>
      <c r="H43" s="9"/>
      <c r="I43" s="9"/>
      <c r="J43" s="9"/>
      <c r="K43" s="9"/>
    </row>
    <row r="44" spans="1:16" s="1" customFormat="1" ht="12.75" customHeight="1">
      <c r="A44" s="21"/>
      <c r="B44" s="22" t="s">
        <v>50</v>
      </c>
      <c r="C44" s="21"/>
      <c r="D44" s="23" t="str">
        <f t="shared" ref="D44:K44" si="14">IF(ROUND(D22-D42,1)=0,"Y","N")</f>
        <v>Y</v>
      </c>
      <c r="E44" s="23" t="str">
        <f t="shared" si="14"/>
        <v>Y</v>
      </c>
      <c r="F44" s="23" t="str">
        <f t="shared" si="14"/>
        <v>Y</v>
      </c>
      <c r="G44" s="23" t="str">
        <f t="shared" ca="1" si="14"/>
        <v>Y</v>
      </c>
      <c r="H44" s="23" t="str">
        <f t="shared" ca="1" si="14"/>
        <v>Y</v>
      </c>
      <c r="I44" s="23" t="str">
        <f t="shared" ca="1" si="14"/>
        <v>Y</v>
      </c>
      <c r="J44" s="23" t="str">
        <f t="shared" ca="1" si="14"/>
        <v>Y</v>
      </c>
      <c r="K44" s="23" t="str">
        <f t="shared" ca="1" si="14"/>
        <v>Y</v>
      </c>
    </row>
  </sheetData>
  <pageMargins left="0.7" right="0.7"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3"/>
  <sheetViews>
    <sheetView zoomScale="88" zoomScaleNormal="90" workbookViewId="0">
      <pane ySplit="5" topLeftCell="A6" activePane="bottomLeft" state="frozen"/>
      <selection pane="bottomLeft" activeCell="N58" sqref="N58"/>
    </sheetView>
  </sheetViews>
  <sheetFormatPr baseColWidth="10" defaultColWidth="9" defaultRowHeight="15"/>
  <cols>
    <col min="1" max="1" width="3" customWidth="1"/>
    <col min="2" max="2" width="2.1640625" customWidth="1"/>
    <col min="3" max="3" width="64.1640625" customWidth="1"/>
    <col min="4" max="4" width="9" bestFit="1" customWidth="1"/>
    <col min="7" max="7" width="9.1640625" customWidth="1"/>
    <col min="8" max="8" width="9.1640625" bestFit="1" customWidth="1"/>
    <col min="10" max="11" width="9.1640625" bestFit="1" customWidth="1"/>
    <col min="13" max="13" width="9.1640625" bestFit="1" customWidth="1"/>
    <col min="14" max="15" width="10.1640625" bestFit="1" customWidth="1"/>
  </cols>
  <sheetData>
    <row r="1" spans="1:15" ht="36" customHeight="1"/>
    <row r="2" spans="1:15">
      <c r="A2" s="63" t="s">
        <v>51</v>
      </c>
      <c r="B2" s="64"/>
      <c r="C2" s="63"/>
      <c r="D2" s="65"/>
      <c r="E2" s="65"/>
      <c r="F2" s="63"/>
      <c r="G2" s="63"/>
      <c r="H2" s="63"/>
      <c r="I2" s="63"/>
      <c r="J2" s="63"/>
      <c r="K2" s="63"/>
    </row>
    <row r="3" spans="1:15">
      <c r="A3" s="66" t="s">
        <v>1</v>
      </c>
      <c r="B3" s="67"/>
      <c r="C3" s="66"/>
      <c r="D3" s="97" t="s">
        <v>52</v>
      </c>
      <c r="E3" s="97"/>
      <c r="F3" s="68"/>
      <c r="G3" s="69" t="s">
        <v>2</v>
      </c>
      <c r="H3" s="98"/>
      <c r="I3" s="99"/>
      <c r="J3" s="99"/>
      <c r="K3" s="99"/>
    </row>
    <row r="4" spans="1:15">
      <c r="A4" s="66"/>
      <c r="B4" s="67"/>
      <c r="C4" s="66"/>
      <c r="D4" s="70"/>
      <c r="E4" s="70"/>
      <c r="F4" s="71"/>
      <c r="G4" s="71"/>
      <c r="H4" s="71"/>
      <c r="I4" s="71"/>
      <c r="J4" s="71"/>
      <c r="K4" s="71"/>
    </row>
    <row r="5" spans="1:15">
      <c r="A5" s="100" t="s">
        <v>53</v>
      </c>
      <c r="B5" s="101"/>
      <c r="C5" s="102"/>
      <c r="D5" s="103">
        <v>2022</v>
      </c>
      <c r="E5" s="103">
        <f t="shared" ref="E5:K5" si="0">D5+1</f>
        <v>2023</v>
      </c>
      <c r="F5" s="103">
        <f t="shared" si="0"/>
        <v>2024</v>
      </c>
      <c r="G5" s="104">
        <f t="shared" si="0"/>
        <v>2025</v>
      </c>
      <c r="H5" s="104">
        <f t="shared" si="0"/>
        <v>2026</v>
      </c>
      <c r="I5" s="104">
        <f t="shared" si="0"/>
        <v>2027</v>
      </c>
      <c r="J5" s="104">
        <f t="shared" si="0"/>
        <v>2028</v>
      </c>
      <c r="K5" s="104">
        <f t="shared" si="0"/>
        <v>2029</v>
      </c>
      <c r="N5" s="183"/>
    </row>
    <row r="6" spans="1:15">
      <c r="A6" s="72" t="s">
        <v>54</v>
      </c>
      <c r="B6" s="72"/>
      <c r="C6" s="72"/>
      <c r="D6" s="73"/>
      <c r="E6" s="73"/>
      <c r="F6" s="73"/>
      <c r="G6" s="73"/>
      <c r="H6" s="73"/>
      <c r="I6" s="73"/>
      <c r="J6" s="73"/>
      <c r="K6" s="73"/>
    </row>
    <row r="7" spans="1:15">
      <c r="A7" s="74"/>
      <c r="B7" s="74" t="s">
        <v>55</v>
      </c>
      <c r="C7" s="10"/>
      <c r="D7" s="188">
        <v>9571</v>
      </c>
      <c r="E7" s="188">
        <v>10703</v>
      </c>
      <c r="F7" s="188">
        <v>10649</v>
      </c>
      <c r="G7" s="189">
        <f ca="1">'Income Statement'!G35</f>
        <v>10017.691831199318</v>
      </c>
      <c r="H7" s="189">
        <f ca="1">'Income Statement'!H35</f>
        <v>11396.096042197307</v>
      </c>
      <c r="I7" s="189">
        <f ca="1">'Income Statement'!I35</f>
        <v>11881.435906851988</v>
      </c>
      <c r="J7" s="189">
        <f ca="1">'Income Statement'!J35</f>
        <v>13027.866270709714</v>
      </c>
      <c r="K7" s="189">
        <f ca="1">'Income Statement'!K35</f>
        <v>13771.323167024007</v>
      </c>
      <c r="L7" s="75"/>
      <c r="M7" s="156"/>
      <c r="N7" s="156"/>
      <c r="O7" s="156"/>
    </row>
    <row r="8" spans="1:15">
      <c r="A8" s="74"/>
      <c r="B8" s="74" t="s">
        <v>56</v>
      </c>
      <c r="C8" s="10"/>
      <c r="D8" s="188">
        <v>1260</v>
      </c>
      <c r="E8" s="188">
        <v>1128</v>
      </c>
      <c r="F8" s="188">
        <v>1075</v>
      </c>
      <c r="G8" s="12">
        <f>'Income Statement'!G22</f>
        <v>1048.9377793875517</v>
      </c>
      <c r="H8" s="12">
        <f>'Income Statement'!H22</f>
        <v>1164.3297655568024</v>
      </c>
      <c r="I8" s="12">
        <f>'Income Statement'!I22</f>
        <v>1282.5367677011823</v>
      </c>
      <c r="J8" s="12">
        <f>'Income Statement'!J22</f>
        <v>1402.9755453587261</v>
      </c>
      <c r="K8" s="12">
        <f>'Income Statement'!K22</f>
        <v>1525.020832955905</v>
      </c>
      <c r="M8" s="156"/>
      <c r="N8" s="156"/>
      <c r="O8" s="156"/>
    </row>
    <row r="9" spans="1:15">
      <c r="A9" s="74"/>
      <c r="B9" s="74" t="s">
        <v>57</v>
      </c>
      <c r="C9" s="10"/>
      <c r="D9" s="188">
        <v>356</v>
      </c>
      <c r="E9" s="188">
        <v>254</v>
      </c>
      <c r="F9" s="188">
        <v>286</v>
      </c>
      <c r="G9" s="12">
        <f>F9</f>
        <v>286</v>
      </c>
      <c r="H9" s="12">
        <f t="shared" ref="H9:K9" si="1">G9</f>
        <v>286</v>
      </c>
      <c r="I9" s="12">
        <f t="shared" si="1"/>
        <v>286</v>
      </c>
      <c r="J9" s="12">
        <f t="shared" si="1"/>
        <v>286</v>
      </c>
      <c r="K9" s="12">
        <f t="shared" si="1"/>
        <v>286</v>
      </c>
      <c r="M9" s="156"/>
      <c r="N9" s="156"/>
      <c r="O9" s="156"/>
    </row>
    <row r="10" spans="1:15" hidden="1">
      <c r="A10" s="172"/>
      <c r="B10" s="171" t="s">
        <v>58</v>
      </c>
      <c r="C10" s="10"/>
      <c r="D10" s="188">
        <v>-122</v>
      </c>
      <c r="E10" s="188">
        <v>-2</v>
      </c>
      <c r="F10" s="188">
        <v>-11</v>
      </c>
      <c r="G10" s="12"/>
      <c r="H10" s="12"/>
      <c r="I10" s="12"/>
      <c r="J10" s="12"/>
      <c r="K10" s="12"/>
      <c r="M10" s="156"/>
      <c r="N10" s="156"/>
      <c r="O10" s="156"/>
    </row>
    <row r="11" spans="1:15" hidden="1">
      <c r="A11" s="172"/>
      <c r="B11" s="171" t="s">
        <v>59</v>
      </c>
      <c r="C11" s="10"/>
      <c r="D11" s="188">
        <v>-838</v>
      </c>
      <c r="E11" s="188">
        <v>-1019</v>
      </c>
      <c r="F11" s="188">
        <v>-802</v>
      </c>
      <c r="G11" s="12"/>
      <c r="H11" s="12"/>
      <c r="I11" s="12"/>
      <c r="J11" s="12"/>
      <c r="K11" s="12"/>
      <c r="M11" s="156"/>
      <c r="N11" s="156"/>
      <c r="O11" s="156"/>
    </row>
    <row r="12" spans="1:15" hidden="1">
      <c r="A12" s="172"/>
      <c r="B12" s="171" t="s">
        <v>60</v>
      </c>
      <c r="C12" s="10"/>
      <c r="D12" s="188">
        <v>203</v>
      </c>
      <c r="E12" s="188">
        <v>175</v>
      </c>
      <c r="F12" s="188">
        <v>-110</v>
      </c>
      <c r="G12" s="12"/>
      <c r="H12" s="12"/>
      <c r="I12" s="12"/>
      <c r="J12" s="12"/>
      <c r="K12" s="12"/>
      <c r="M12" s="156"/>
      <c r="N12" s="156"/>
      <c r="O12" s="156"/>
    </row>
    <row r="13" spans="1:15" hidden="1">
      <c r="A13" s="172"/>
      <c r="B13" s="171" t="s">
        <v>61</v>
      </c>
      <c r="C13" s="10"/>
      <c r="D13" s="188">
        <v>-129</v>
      </c>
      <c r="E13" s="188">
        <v>-492</v>
      </c>
      <c r="F13" s="188">
        <v>-1737</v>
      </c>
      <c r="G13" s="12"/>
      <c r="H13" s="12"/>
      <c r="I13" s="12"/>
      <c r="J13" s="12"/>
      <c r="K13" s="12"/>
      <c r="M13" s="156"/>
      <c r="N13" s="156"/>
      <c r="O13" s="156"/>
    </row>
    <row r="14" spans="1:15" hidden="1">
      <c r="A14" s="172"/>
      <c r="B14" s="171" t="s">
        <v>62</v>
      </c>
      <c r="C14" s="10"/>
      <c r="D14" s="188">
        <v>1086</v>
      </c>
      <c r="E14" s="188">
        <v>1741</v>
      </c>
      <c r="F14" s="188">
        <v>4000</v>
      </c>
      <c r="G14" s="12"/>
      <c r="H14" s="12"/>
      <c r="I14" s="12"/>
      <c r="J14" s="12"/>
      <c r="K14" s="12"/>
      <c r="M14" s="156"/>
      <c r="N14" s="156"/>
      <c r="O14" s="156"/>
    </row>
    <row r="15" spans="1:15" hidden="1">
      <c r="A15" s="172"/>
      <c r="B15" s="171" t="s">
        <v>63</v>
      </c>
      <c r="C15" s="10"/>
      <c r="D15" s="188">
        <v>236</v>
      </c>
      <c r="E15" s="188">
        <v>-43</v>
      </c>
      <c r="F15" s="188">
        <v>-311</v>
      </c>
      <c r="G15" s="12"/>
      <c r="H15" s="12"/>
      <c r="I15" s="12"/>
      <c r="J15" s="12"/>
      <c r="K15" s="12"/>
      <c r="M15" s="156"/>
      <c r="N15" s="156"/>
      <c r="O15" s="156"/>
    </row>
    <row r="16" spans="1:15">
      <c r="A16" s="74"/>
      <c r="B16" s="74" t="s">
        <v>64</v>
      </c>
      <c r="C16" s="10"/>
      <c r="D16" s="188">
        <f>SUM(D10:D15)</f>
        <v>436</v>
      </c>
      <c r="E16" s="188">
        <f t="shared" ref="E16:F16" si="2">SUM(E10:E15)</f>
        <v>360</v>
      </c>
      <c r="F16" s="188">
        <f t="shared" si="2"/>
        <v>1029</v>
      </c>
      <c r="G16" s="12">
        <f>AVERAGE(D16:E16)</f>
        <v>398</v>
      </c>
      <c r="H16" s="12">
        <f>G16</f>
        <v>398</v>
      </c>
      <c r="I16" s="12">
        <f t="shared" ref="I16:K16" si="3">H16</f>
        <v>398</v>
      </c>
      <c r="J16" s="12">
        <f t="shared" si="3"/>
        <v>398</v>
      </c>
      <c r="K16" s="12">
        <f t="shared" si="3"/>
        <v>398</v>
      </c>
      <c r="M16" s="156"/>
      <c r="N16" s="156"/>
      <c r="O16" s="156"/>
    </row>
    <row r="17" spans="1:15">
      <c r="A17" s="74"/>
      <c r="B17" s="72" t="s">
        <v>65</v>
      </c>
      <c r="C17" s="10"/>
      <c r="D17" s="188"/>
      <c r="E17" s="188"/>
      <c r="F17" s="188"/>
      <c r="G17" s="12"/>
      <c r="H17" s="12"/>
      <c r="I17" s="12"/>
      <c r="J17" s="12"/>
      <c r="K17" s="12"/>
      <c r="M17" s="156"/>
      <c r="N17" s="156"/>
      <c r="O17" s="156"/>
    </row>
    <row r="18" spans="1:15">
      <c r="A18" s="74"/>
      <c r="B18" s="74"/>
      <c r="C18" s="10" t="s">
        <v>66</v>
      </c>
      <c r="D18" s="188">
        <v>-69</v>
      </c>
      <c r="E18" s="188">
        <v>-2</v>
      </c>
      <c r="F18" s="188">
        <v>-295</v>
      </c>
      <c r="G18" s="12">
        <f>-('Working Capital'!G9-'Working Capital'!F9)</f>
        <v>0.97679607318150374</v>
      </c>
      <c r="H18" s="12">
        <f>-('Working Capital'!H9-'Working Capital'!G9)</f>
        <v>-187.59556745500504</v>
      </c>
      <c r="I18" s="12">
        <f>-('Working Capital'!I9-'Working Capital'!H9)</f>
        <v>-187.78093856909118</v>
      </c>
      <c r="J18" s="12">
        <f>-('Working Capital'!J9-'Working Capital'!I9)</f>
        <v>-177.45298694779058</v>
      </c>
      <c r="K18" s="12">
        <f>-('Working Capital'!K9-'Working Capital'!J9)</f>
        <v>-164.83410787594858</v>
      </c>
      <c r="M18" s="156"/>
      <c r="N18" s="156"/>
      <c r="O18" s="156"/>
    </row>
    <row r="19" spans="1:15">
      <c r="A19" s="74"/>
      <c r="B19" s="74"/>
      <c r="C19" s="10" t="s">
        <v>67</v>
      </c>
      <c r="D19" s="188">
        <v>-960</v>
      </c>
      <c r="E19" s="188">
        <v>-597</v>
      </c>
      <c r="F19" s="188">
        <v>-520</v>
      </c>
      <c r="G19" s="12">
        <f>-('Working Capital'!G7-'Working Capital'!F7)</f>
        <v>-270.11715954180272</v>
      </c>
      <c r="H19" s="12">
        <f>-('Working Capital'!H7-'Working Capital'!G7)</f>
        <v>-128.41570106427753</v>
      </c>
      <c r="I19" s="12">
        <f>-('Working Capital'!I7-'Working Capital'!H7)</f>
        <v>-185.78251873324371</v>
      </c>
      <c r="J19" s="12">
        <f>-('Working Capital'!J7-'Working Capital'!I7)</f>
        <v>-239.05419207026807</v>
      </c>
      <c r="K19" s="12">
        <f>-('Working Capital'!K7-'Working Capital'!J7)</f>
        <v>-222.05478285638492</v>
      </c>
      <c r="M19" s="156"/>
      <c r="N19" s="156"/>
      <c r="O19" s="156"/>
    </row>
    <row r="20" spans="1:15">
      <c r="A20" s="74"/>
      <c r="B20" s="74"/>
      <c r="C20" s="10" t="s">
        <v>68</v>
      </c>
      <c r="D20" s="188">
        <v>225</v>
      </c>
      <c r="E20" s="188">
        <v>-323</v>
      </c>
      <c r="F20" s="188">
        <v>-5667</v>
      </c>
      <c r="G20" s="12">
        <f>-('Working Capital'!G11-'Working Capital'!F11)</f>
        <v>-708.89654055340407</v>
      </c>
      <c r="H20" s="12">
        <f>-('Working Capital'!H11-'Working Capital'!G11)</f>
        <v>17.298336018934151</v>
      </c>
      <c r="I20" s="12">
        <f>-('Working Capital'!I11-'Working Capital'!H11)</f>
        <v>-131.70496624166117</v>
      </c>
      <c r="J20" s="12">
        <f>-('Working Capital'!J11-'Working Capital'!I11)</f>
        <v>-115.85907622053401</v>
      </c>
      <c r="K20" s="12">
        <f>-('Working Capital'!K11-'Working Capital'!J11)</f>
        <v>-162.72648987986668</v>
      </c>
      <c r="M20" s="156"/>
      <c r="N20" s="156"/>
      <c r="O20" s="156"/>
    </row>
    <row r="21" spans="1:15">
      <c r="A21" s="74"/>
      <c r="B21" s="74"/>
      <c r="C21" s="10" t="s">
        <v>69</v>
      </c>
      <c r="D21" s="188">
        <v>759</v>
      </c>
      <c r="E21" s="188">
        <v>841</v>
      </c>
      <c r="F21" s="188">
        <v>1134</v>
      </c>
      <c r="G21" s="12">
        <f>'Working Capital'!G15-'Working Capital'!F15</f>
        <v>-4819.3080091563133</v>
      </c>
      <c r="H21" s="12">
        <f>'Working Capital'!H15-'Working Capital'!G15</f>
        <v>190.56352067924308</v>
      </c>
      <c r="I21" s="12">
        <f>'Working Capital'!I15-'Working Capital'!H15</f>
        <v>605.01032848024624</v>
      </c>
      <c r="J21" s="12">
        <f>'Working Capital'!J15-'Working Capital'!I15</f>
        <v>665.84643419253189</v>
      </c>
      <c r="K21" s="12">
        <f>'Working Capital'!K15-'Working Capital'!J15</f>
        <v>734.28449096782788</v>
      </c>
      <c r="M21" s="156"/>
      <c r="N21" s="156"/>
      <c r="O21" s="156"/>
    </row>
    <row r="22" spans="1:15">
      <c r="A22" s="74"/>
      <c r="B22" s="74"/>
      <c r="C22" s="10" t="s">
        <v>70</v>
      </c>
      <c r="D22" s="188">
        <v>-360</v>
      </c>
      <c r="E22" s="188">
        <v>-578</v>
      </c>
      <c r="F22" s="188">
        <v>-823</v>
      </c>
      <c r="G22" s="12">
        <f ca="1">'Working Capital'!G17-'Working Capital'!F17</f>
        <v>3.3792399767671668</v>
      </c>
      <c r="H22" s="12">
        <f ca="1">'Working Capital'!H17-'Working Capital'!G17</f>
        <v>191.31199397643195</v>
      </c>
      <c r="I22" s="12">
        <f ca="1">'Working Capital'!I17-'Working Capital'!H17</f>
        <v>67.36147243493474</v>
      </c>
      <c r="J22" s="12">
        <f ca="1">'Working Capital'!J17-'Working Capital'!I17</f>
        <v>159.11579282390085</v>
      </c>
      <c r="K22" s="12">
        <f ca="1">'Working Capital'!K17-'Working Capital'!J17</f>
        <v>103.18614825359441</v>
      </c>
      <c r="M22" s="156"/>
      <c r="N22" s="156"/>
      <c r="O22" s="156"/>
    </row>
    <row r="23" spans="1:15">
      <c r="A23" s="74"/>
      <c r="B23" s="74"/>
      <c r="C23" s="10" t="s">
        <v>71</v>
      </c>
      <c r="D23" s="188">
        <v>-200</v>
      </c>
      <c r="E23" s="188">
        <v>-187</v>
      </c>
      <c r="F23" s="188">
        <v>-63</v>
      </c>
      <c r="G23" s="12">
        <f>'Working Capital'!G19-'Working Capital'!F19</f>
        <v>4110</v>
      </c>
      <c r="H23" s="12">
        <f>'Working Capital'!H19-'Working Capital'!G19</f>
        <v>0</v>
      </c>
      <c r="I23" s="12">
        <f>'Working Capital'!I19-'Working Capital'!H19</f>
        <v>0</v>
      </c>
      <c r="J23" s="12">
        <f>'Working Capital'!J19-'Working Capital'!I19</f>
        <v>0</v>
      </c>
      <c r="K23" s="12">
        <f>'Working Capital'!K19-'Working Capital'!J19</f>
        <v>0</v>
      </c>
      <c r="M23" s="156"/>
      <c r="N23" s="156"/>
      <c r="O23" s="156"/>
    </row>
    <row r="24" spans="1:15">
      <c r="A24" s="74"/>
      <c r="B24" s="72"/>
      <c r="C24" s="11" t="s">
        <v>72</v>
      </c>
      <c r="D24" s="190">
        <f>SUM(D18:D23)</f>
        <v>-605</v>
      </c>
      <c r="E24" s="190">
        <f t="shared" ref="E24:F24" si="4">SUM(E18:E23)</f>
        <v>-846</v>
      </c>
      <c r="F24" s="190">
        <f t="shared" si="4"/>
        <v>-6234</v>
      </c>
      <c r="G24" s="190">
        <f t="shared" ref="G24" ca="1" si="5">SUM(G18:G23)</f>
        <v>-1683.965673201571</v>
      </c>
      <c r="H24" s="190">
        <f t="shared" ref="H24" ca="1" si="6">SUM(H18:H23)</f>
        <v>83.162582155326618</v>
      </c>
      <c r="I24" s="190">
        <f t="shared" ref="I24" ca="1" si="7">SUM(I18:I23)</f>
        <v>167.10337737118493</v>
      </c>
      <c r="J24" s="190">
        <f t="shared" ref="J24" ca="1" si="8">SUM(J18:J23)</f>
        <v>292.59597177784008</v>
      </c>
      <c r="K24" s="190">
        <f t="shared" ref="K24" ca="1" si="9">SUM(K18:K23)</f>
        <v>287.85525860922212</v>
      </c>
      <c r="M24" s="156"/>
      <c r="N24" s="156"/>
      <c r="O24" s="156"/>
    </row>
    <row r="25" spans="1:15">
      <c r="A25" s="74"/>
      <c r="B25" s="72" t="s">
        <v>73</v>
      </c>
      <c r="C25" s="10"/>
      <c r="D25" s="191">
        <f>D16+SUM(D7:D9)+D24</f>
        <v>11018</v>
      </c>
      <c r="E25" s="191">
        <f t="shared" ref="E25:K25" si="10">E16+SUM(E7:E9)+E24</f>
        <v>11599</v>
      </c>
      <c r="F25" s="191">
        <f t="shared" si="10"/>
        <v>6805</v>
      </c>
      <c r="G25" s="191">
        <f t="shared" ca="1" si="10"/>
        <v>10066.6639373853</v>
      </c>
      <c r="H25" s="191">
        <f t="shared" ca="1" si="10"/>
        <v>13327.588389909435</v>
      </c>
      <c r="I25" s="191">
        <f t="shared" ca="1" si="10"/>
        <v>14015.076051924354</v>
      </c>
      <c r="J25" s="191">
        <f t="shared" ca="1" si="10"/>
        <v>15407.43778784628</v>
      </c>
      <c r="K25" s="191">
        <f t="shared" ca="1" si="10"/>
        <v>16268.199258589135</v>
      </c>
    </row>
    <row r="26" spans="1:15">
      <c r="A26" s="72" t="s">
        <v>74</v>
      </c>
      <c r="B26" s="72"/>
      <c r="C26" s="11"/>
      <c r="D26" s="192"/>
      <c r="E26" s="192"/>
      <c r="F26" s="192"/>
      <c r="G26" s="193"/>
      <c r="H26" s="193"/>
      <c r="I26" s="193"/>
      <c r="J26" s="193"/>
      <c r="K26" s="193"/>
    </row>
    <row r="27" spans="1:15">
      <c r="A27" s="72"/>
      <c r="B27" s="74" t="s">
        <v>75</v>
      </c>
      <c r="C27" s="10"/>
      <c r="D27" s="181">
        <v>-3751</v>
      </c>
      <c r="E27" s="181">
        <v>-6698</v>
      </c>
      <c r="F27" s="181">
        <v>-5640</v>
      </c>
      <c r="G27" s="194">
        <f>D27</f>
        <v>-3751</v>
      </c>
      <c r="H27" s="194">
        <f t="shared" ref="H27:K28" si="11">E27</f>
        <v>-6698</v>
      </c>
      <c r="I27" s="194">
        <f t="shared" si="11"/>
        <v>-5640</v>
      </c>
      <c r="J27" s="194">
        <f t="shared" si="11"/>
        <v>-3751</v>
      </c>
      <c r="K27" s="194">
        <f t="shared" si="11"/>
        <v>-6698</v>
      </c>
      <c r="M27" s="130"/>
      <c r="N27" s="130"/>
      <c r="O27" s="130"/>
    </row>
    <row r="28" spans="1:15">
      <c r="A28" s="72"/>
      <c r="B28" s="74" t="s">
        <v>76</v>
      </c>
      <c r="C28" s="10"/>
      <c r="D28" s="181">
        <v>4771</v>
      </c>
      <c r="E28" s="181">
        <v>4354</v>
      </c>
      <c r="F28" s="181">
        <v>6589</v>
      </c>
      <c r="G28" s="182">
        <f>D28</f>
        <v>4771</v>
      </c>
      <c r="H28" s="182">
        <f t="shared" si="11"/>
        <v>4354</v>
      </c>
      <c r="I28" s="182">
        <f t="shared" si="11"/>
        <v>6589</v>
      </c>
      <c r="J28" s="182">
        <f t="shared" si="11"/>
        <v>4771</v>
      </c>
      <c r="K28" s="182">
        <f t="shared" si="11"/>
        <v>4354</v>
      </c>
      <c r="M28" s="130"/>
      <c r="N28" s="130"/>
      <c r="O28" s="130"/>
    </row>
    <row r="29" spans="1:15">
      <c r="A29" s="11"/>
      <c r="B29" s="441" t="s">
        <v>77</v>
      </c>
      <c r="C29" s="10"/>
      <c r="D29" s="181">
        <v>-73</v>
      </c>
      <c r="E29" s="181">
        <v>-62</v>
      </c>
      <c r="F29" s="181">
        <v>-315</v>
      </c>
      <c r="G29" s="182">
        <f>AVERAGE(D29:E29)</f>
        <v>-67.5</v>
      </c>
      <c r="H29" s="182">
        <f t="shared" ref="H29:K30" si="12">G29</f>
        <v>-67.5</v>
      </c>
      <c r="I29" s="182">
        <f t="shared" si="12"/>
        <v>-67.5</v>
      </c>
      <c r="J29" s="182">
        <f t="shared" si="12"/>
        <v>-67.5</v>
      </c>
      <c r="K29" s="182">
        <f t="shared" si="12"/>
        <v>-67.5</v>
      </c>
      <c r="M29" s="130"/>
      <c r="N29" s="130"/>
      <c r="O29" s="130"/>
    </row>
    <row r="30" spans="1:15">
      <c r="A30" s="11"/>
      <c r="B30" s="441" t="s">
        <v>78</v>
      </c>
      <c r="C30" s="10"/>
      <c r="D30" s="181">
        <v>458</v>
      </c>
      <c r="E30" s="181">
        <v>430</v>
      </c>
      <c r="F30" s="181">
        <v>3485</v>
      </c>
      <c r="G30" s="182">
        <f>AVERAGE(D30:E30)</f>
        <v>444</v>
      </c>
      <c r="H30" s="182">
        <f t="shared" si="12"/>
        <v>444</v>
      </c>
      <c r="I30" s="182">
        <f t="shared" si="12"/>
        <v>444</v>
      </c>
      <c r="J30" s="182">
        <f t="shared" si="12"/>
        <v>444</v>
      </c>
      <c r="K30" s="182">
        <f t="shared" si="12"/>
        <v>444</v>
      </c>
      <c r="M30" s="130"/>
      <c r="N30" s="130"/>
      <c r="O30" s="130"/>
    </row>
    <row r="31" spans="1:15">
      <c r="A31" s="72"/>
      <c r="B31" s="74" t="s">
        <v>79</v>
      </c>
      <c r="C31" s="10"/>
      <c r="D31" s="181">
        <f>-1484+75</f>
        <v>-1409</v>
      </c>
      <c r="E31" s="181">
        <f>-1852+74</f>
        <v>-1778</v>
      </c>
      <c r="F31" s="181">
        <f>-2064+40</f>
        <v>-2024</v>
      </c>
      <c r="G31" s="182">
        <f>-G32*'Income Statement'!G7</f>
        <v>-2021.4254835213869</v>
      </c>
      <c r="H31" s="182">
        <f>-H32*'Income Statement'!H7</f>
        <v>-2077.0557510465142</v>
      </c>
      <c r="I31" s="182">
        <f>-I32*'Income Statement'!I7</f>
        <v>-2127.7260385988398</v>
      </c>
      <c r="J31" s="182">
        <f>-J32*'Income Statement'!J7</f>
        <v>-2167.897997835787</v>
      </c>
      <c r="K31" s="182">
        <f>-K32*'Income Statement'!K7</f>
        <v>-2196.8151767492186</v>
      </c>
      <c r="M31" s="130"/>
      <c r="N31" s="130"/>
      <c r="O31" s="130"/>
    </row>
    <row r="32" spans="1:15">
      <c r="A32" s="72"/>
      <c r="B32" s="74"/>
      <c r="C32" s="10" t="s">
        <v>80</v>
      </c>
      <c r="D32" s="195">
        <f>-D31/'Income Statement'!D6</f>
        <v>3.2764394009859546E-2</v>
      </c>
      <c r="E32" s="195">
        <f>-E31/'Income Statement'!E6</f>
        <v>3.8859990383354463E-2</v>
      </c>
      <c r="F32" s="195">
        <f>-F31/'Income Statement'!F6</f>
        <v>4.3008010879496822E-2</v>
      </c>
      <c r="G32" s="196">
        <f>F32-0.1%</f>
        <v>4.2008010879496821E-2</v>
      </c>
      <c r="H32" s="196">
        <f>G32-0.1%</f>
        <v>4.100801087949682E-2</v>
      </c>
      <c r="I32" s="196">
        <f>H32-0.1%</f>
        <v>4.0008010879496819E-2</v>
      </c>
      <c r="J32" s="196">
        <f>I32-0.1%</f>
        <v>3.9008010879496818E-2</v>
      </c>
      <c r="K32" s="196">
        <f>J32-0.1%</f>
        <v>3.8008010879496817E-2</v>
      </c>
      <c r="M32" s="130"/>
      <c r="N32" s="130"/>
      <c r="O32" s="130"/>
    </row>
    <row r="33" spans="1:15" hidden="1">
      <c r="A33" s="173"/>
      <c r="B33" s="171" t="s">
        <v>81</v>
      </c>
      <c r="C33" s="10"/>
      <c r="D33" s="181">
        <v>-1465</v>
      </c>
      <c r="E33" s="181">
        <v>366</v>
      </c>
      <c r="F33" s="181">
        <v>235</v>
      </c>
      <c r="G33" s="182">
        <f>AVERAGE(E33:F33)</f>
        <v>300.5</v>
      </c>
      <c r="H33" s="182">
        <f t="shared" ref="H33:K34" si="13">G33</f>
        <v>300.5</v>
      </c>
      <c r="I33" s="182">
        <f t="shared" si="13"/>
        <v>300.5</v>
      </c>
      <c r="J33" s="182">
        <f t="shared" si="13"/>
        <v>300.5</v>
      </c>
      <c r="K33" s="182">
        <f t="shared" si="13"/>
        <v>300.5</v>
      </c>
      <c r="M33" s="130"/>
      <c r="N33" s="130"/>
      <c r="O33" s="130"/>
    </row>
    <row r="34" spans="1:15" hidden="1">
      <c r="A34" s="173"/>
      <c r="B34" s="171" t="s">
        <v>82</v>
      </c>
      <c r="C34" s="10"/>
      <c r="D34" s="181">
        <v>706</v>
      </c>
      <c r="E34" s="181">
        <v>39</v>
      </c>
      <c r="F34" s="181">
        <v>194</v>
      </c>
      <c r="G34" s="197">
        <f>MIN(D34:F34)</f>
        <v>39</v>
      </c>
      <c r="H34" s="197">
        <f t="shared" si="13"/>
        <v>39</v>
      </c>
      <c r="I34" s="197">
        <f t="shared" si="13"/>
        <v>39</v>
      </c>
      <c r="J34" s="197">
        <f t="shared" si="13"/>
        <v>39</v>
      </c>
      <c r="K34" s="197">
        <f t="shared" si="13"/>
        <v>39</v>
      </c>
      <c r="M34" s="130"/>
      <c r="N34" s="130"/>
      <c r="O34" s="130"/>
    </row>
    <row r="35" spans="1:15">
      <c r="A35" s="72"/>
      <c r="B35" s="74" t="s">
        <v>82</v>
      </c>
      <c r="C35" s="10"/>
      <c r="D35" s="366">
        <f>SUM(D33:D34)</f>
        <v>-759</v>
      </c>
      <c r="E35" s="366">
        <f t="shared" ref="E35:K35" si="14">SUM(E33:E34)</f>
        <v>405</v>
      </c>
      <c r="F35" s="366">
        <f t="shared" si="14"/>
        <v>429</v>
      </c>
      <c r="G35" s="366">
        <f t="shared" si="14"/>
        <v>339.5</v>
      </c>
      <c r="H35" s="366">
        <f t="shared" si="14"/>
        <v>339.5</v>
      </c>
      <c r="I35" s="366">
        <f t="shared" si="14"/>
        <v>339.5</v>
      </c>
      <c r="J35" s="366">
        <f t="shared" si="14"/>
        <v>339.5</v>
      </c>
      <c r="K35" s="366">
        <f t="shared" si="14"/>
        <v>339.5</v>
      </c>
      <c r="M35" s="130"/>
      <c r="N35" s="130"/>
      <c r="O35" s="130"/>
    </row>
    <row r="36" spans="1:15">
      <c r="A36" s="74"/>
      <c r="B36" s="72" t="s">
        <v>83</v>
      </c>
      <c r="C36" s="10"/>
      <c r="D36" s="192">
        <f>D35+SUM(D27:D31)</f>
        <v>-763</v>
      </c>
      <c r="E36" s="192">
        <f t="shared" ref="E36:K36" si="15">E35+SUM(E27:E31)</f>
        <v>-3349</v>
      </c>
      <c r="F36" s="192">
        <f t="shared" si="15"/>
        <v>2524</v>
      </c>
      <c r="G36" s="192">
        <f t="shared" si="15"/>
        <v>-285.42548352138692</v>
      </c>
      <c r="H36" s="192">
        <f t="shared" si="15"/>
        <v>-3705.0557510465142</v>
      </c>
      <c r="I36" s="192">
        <f t="shared" si="15"/>
        <v>-462.72603859883975</v>
      </c>
      <c r="J36" s="192">
        <f t="shared" si="15"/>
        <v>-431.89799783578701</v>
      </c>
      <c r="K36" s="192">
        <f t="shared" si="15"/>
        <v>-3824.8151767492182</v>
      </c>
    </row>
    <row r="37" spans="1:15">
      <c r="A37" s="72" t="s">
        <v>84</v>
      </c>
      <c r="B37" s="72"/>
      <c r="C37" s="11"/>
      <c r="D37" s="192"/>
      <c r="E37" s="192"/>
      <c r="F37" s="192"/>
      <c r="G37" s="198"/>
      <c r="H37" s="198"/>
      <c r="I37" s="198"/>
      <c r="J37" s="198"/>
      <c r="K37" s="198"/>
    </row>
    <row r="38" spans="1:15">
      <c r="A38" s="10"/>
      <c r="B38" s="10" t="s">
        <v>85</v>
      </c>
      <c r="C38" s="10"/>
      <c r="D38" s="181">
        <v>3972</v>
      </c>
      <c r="E38" s="181">
        <v>6891</v>
      </c>
      <c r="F38" s="181">
        <v>12061</v>
      </c>
      <c r="G38" s="12">
        <f>AVERAGE(D38:E38)</f>
        <v>5431.5</v>
      </c>
      <c r="H38" s="12">
        <f>G38</f>
        <v>5431.5</v>
      </c>
      <c r="I38" s="12">
        <f>H38</f>
        <v>5431.5</v>
      </c>
      <c r="J38" s="12">
        <f>I38</f>
        <v>5431.5</v>
      </c>
      <c r="K38" s="12">
        <f>J38</f>
        <v>5431.5</v>
      </c>
    </row>
    <row r="39" spans="1:15">
      <c r="A39" s="10"/>
      <c r="B39" s="10" t="s">
        <v>86</v>
      </c>
      <c r="C39" s="10"/>
      <c r="D39" s="181">
        <v>-4930</v>
      </c>
      <c r="E39" s="181">
        <v>-5034</v>
      </c>
      <c r="F39" s="181">
        <v>-9533</v>
      </c>
      <c r="G39" s="12">
        <f>D39</f>
        <v>-4930</v>
      </c>
      <c r="H39" s="12">
        <f>E39</f>
        <v>-5034</v>
      </c>
      <c r="I39" s="12">
        <f>G39</f>
        <v>-4930</v>
      </c>
      <c r="J39" s="12">
        <f>H39</f>
        <v>-5034</v>
      </c>
      <c r="K39" s="12">
        <f>I39</f>
        <v>-4930</v>
      </c>
    </row>
    <row r="40" spans="1:15">
      <c r="A40" s="10"/>
      <c r="B40" s="10" t="s">
        <v>87</v>
      </c>
      <c r="C40" s="10"/>
      <c r="D40" s="181">
        <f>D38+D39</f>
        <v>-958</v>
      </c>
      <c r="E40" s="181">
        <f t="shared" ref="E40:K40" si="16">E38+E39</f>
        <v>1857</v>
      </c>
      <c r="F40" s="181">
        <f t="shared" si="16"/>
        <v>2528</v>
      </c>
      <c r="G40" s="181">
        <f t="shared" si="16"/>
        <v>501.5</v>
      </c>
      <c r="H40" s="181">
        <f t="shared" si="16"/>
        <v>397.5</v>
      </c>
      <c r="I40" s="181">
        <f t="shared" si="16"/>
        <v>501.5</v>
      </c>
      <c r="J40" s="181">
        <f t="shared" si="16"/>
        <v>397.5</v>
      </c>
      <c r="K40" s="181">
        <f t="shared" si="16"/>
        <v>501.5</v>
      </c>
    </row>
    <row r="41" spans="1:15">
      <c r="A41" s="10"/>
      <c r="B41" s="10" t="s">
        <v>88</v>
      </c>
      <c r="C41" s="10"/>
      <c r="D41" s="181">
        <v>837</v>
      </c>
      <c r="E41" s="181">
        <v>539</v>
      </c>
      <c r="F41" s="181">
        <v>747</v>
      </c>
      <c r="G41" s="12">
        <f>AVERAGE(D41:F41)</f>
        <v>707.66666666666663</v>
      </c>
      <c r="H41" s="12">
        <f>AVERAGE(E41:G41)</f>
        <v>664.55555555555554</v>
      </c>
      <c r="I41" s="12">
        <f>AVERAGE(F41:H41)</f>
        <v>706.40740740740739</v>
      </c>
      <c r="J41" s="12">
        <f>AVERAGE(G41:I41)</f>
        <v>692.87654320987656</v>
      </c>
      <c r="K41" s="12">
        <f>AVERAGE(H41:J41)</f>
        <v>687.9465020576132</v>
      </c>
    </row>
    <row r="42" spans="1:15">
      <c r="A42" s="10"/>
      <c r="B42" s="10" t="s">
        <v>89</v>
      </c>
      <c r="C42" s="10"/>
      <c r="D42" s="181">
        <v>-1418</v>
      </c>
      <c r="E42" s="181">
        <v>-2289</v>
      </c>
      <c r="F42" s="181">
        <v>-1795</v>
      </c>
      <c r="G42" s="12">
        <f>D42</f>
        <v>-1418</v>
      </c>
      <c r="H42" s="12">
        <f>E42</f>
        <v>-2289</v>
      </c>
      <c r="I42" s="12">
        <f>F42</f>
        <v>-1795</v>
      </c>
      <c r="J42" s="12">
        <f>G42</f>
        <v>-1418</v>
      </c>
      <c r="K42" s="12">
        <f>H42</f>
        <v>-2289</v>
      </c>
    </row>
    <row r="43" spans="1:15" s="1" customFormat="1" ht="12.75" customHeight="1">
      <c r="A43" s="10"/>
      <c r="B43" s="10" t="s">
        <v>90</v>
      </c>
      <c r="C43" s="10"/>
      <c r="D43" s="96">
        <v>-7616</v>
      </c>
      <c r="E43" s="96">
        <v>-7952</v>
      </c>
      <c r="F43" s="96">
        <v>-8359</v>
      </c>
      <c r="G43" s="12">
        <f ca="1">G44*-'Income Statement'!G48</f>
        <v>-7867.3293215120966</v>
      </c>
      <c r="H43" s="12">
        <f ca="1">H44*-'Income Statement'!H48</f>
        <v>-8951.1484165861439</v>
      </c>
      <c r="I43" s="12">
        <f ca="1">I44*-'Income Statement'!I48</f>
        <v>-9332.7640622119998</v>
      </c>
      <c r="J43" s="12">
        <f ca="1">J44*-'Income Statement'!J48</f>
        <v>-10234.185510004938</v>
      </c>
      <c r="K43" s="12">
        <f ca="1">K44*-'Income Statement'!K48</f>
        <v>-10818.754806994044</v>
      </c>
    </row>
    <row r="44" spans="1:15" s="1" customFormat="1" ht="12.75" customHeight="1">
      <c r="A44" s="10"/>
      <c r="B44" s="10"/>
      <c r="C44" s="10" t="s">
        <v>91</v>
      </c>
      <c r="D44" s="180">
        <f>-D43/'Income Statement'!D48</f>
        <v>0.79815552295116332</v>
      </c>
      <c r="E44" s="180">
        <f>-E43/'Income Statement'!E48</f>
        <v>0.74220645883890235</v>
      </c>
      <c r="F44" s="180">
        <f>-F43/'Income Statement'!F48</f>
        <v>0.78628539177876022</v>
      </c>
      <c r="G44" s="179">
        <f>F44</f>
        <v>0.78628539177876022</v>
      </c>
      <c r="H44" s="179">
        <f t="shared" ref="H44:K44" si="17">G44</f>
        <v>0.78628539177876022</v>
      </c>
      <c r="I44" s="179">
        <f t="shared" si="17"/>
        <v>0.78628539177876022</v>
      </c>
      <c r="J44" s="179">
        <f t="shared" si="17"/>
        <v>0.78628539177876022</v>
      </c>
      <c r="K44" s="179">
        <f t="shared" si="17"/>
        <v>0.78628539177876022</v>
      </c>
    </row>
    <row r="45" spans="1:15" s="1" customFormat="1" ht="12.75" customHeight="1">
      <c r="A45" s="10"/>
      <c r="B45" s="10" t="s">
        <v>92</v>
      </c>
      <c r="C45" s="10"/>
      <c r="D45" s="96">
        <v>-1095</v>
      </c>
      <c r="E45" s="96">
        <v>-465</v>
      </c>
      <c r="F45" s="96">
        <v>-31</v>
      </c>
      <c r="G45" s="13">
        <v>0</v>
      </c>
      <c r="H45" s="13">
        <v>0</v>
      </c>
      <c r="I45" s="13">
        <v>0</v>
      </c>
      <c r="J45" s="13">
        <v>0</v>
      </c>
      <c r="K45" s="13">
        <v>0</v>
      </c>
    </row>
    <row r="46" spans="1:15">
      <c r="A46" s="10"/>
      <c r="B46" s="11" t="s">
        <v>93</v>
      </c>
      <c r="C46" s="10"/>
      <c r="D46" s="199">
        <f>D45+SUM(D41:D43)+D40</f>
        <v>-10250</v>
      </c>
      <c r="E46" s="199">
        <f t="shared" ref="E46:K46" si="18">E45+SUM(E41:E43)+E40</f>
        <v>-8310</v>
      </c>
      <c r="F46" s="199">
        <f t="shared" si="18"/>
        <v>-6910</v>
      </c>
      <c r="G46" s="199">
        <f t="shared" ca="1" si="18"/>
        <v>-8076.1626548454296</v>
      </c>
      <c r="H46" s="199">
        <f t="shared" ca="1" si="18"/>
        <v>-10178.092861030589</v>
      </c>
      <c r="I46" s="199">
        <f t="shared" ca="1" si="18"/>
        <v>-9919.8566548045928</v>
      </c>
      <c r="J46" s="199">
        <f t="shared" ca="1" si="18"/>
        <v>-10561.808966795061</v>
      </c>
      <c r="K46" s="199">
        <f t="shared" ca="1" si="18"/>
        <v>-11918.30830493643</v>
      </c>
    </row>
    <row r="47" spans="1:15" ht="18" customHeight="1">
      <c r="A47" s="11" t="s">
        <v>94</v>
      </c>
      <c r="B47" s="11"/>
      <c r="C47" s="10"/>
      <c r="D47" s="96">
        <v>-205</v>
      </c>
      <c r="E47" s="96">
        <v>-73</v>
      </c>
      <c r="F47" s="96">
        <v>-623</v>
      </c>
      <c r="G47" s="170">
        <f>F47</f>
        <v>-623</v>
      </c>
      <c r="H47" s="170">
        <f t="shared" ref="H47:K47" si="19">G47</f>
        <v>-623</v>
      </c>
      <c r="I47" s="170">
        <f t="shared" si="19"/>
        <v>-623</v>
      </c>
      <c r="J47" s="170">
        <f t="shared" si="19"/>
        <v>-623</v>
      </c>
      <c r="K47" s="170">
        <f t="shared" si="19"/>
        <v>-623</v>
      </c>
    </row>
    <row r="48" spans="1:15" ht="23.25" customHeight="1">
      <c r="A48" s="74"/>
      <c r="B48" s="11" t="s">
        <v>95</v>
      </c>
      <c r="C48" s="10"/>
      <c r="D48" s="192">
        <f t="shared" ref="D48:K48" si="20">D46+D36+D25+D47</f>
        <v>-200</v>
      </c>
      <c r="E48" s="192">
        <f t="shared" si="20"/>
        <v>-133</v>
      </c>
      <c r="F48" s="192">
        <f t="shared" si="20"/>
        <v>1796</v>
      </c>
      <c r="G48" s="192">
        <f t="shared" ca="1" si="20"/>
        <v>1082.0757990184829</v>
      </c>
      <c r="H48" s="192">
        <f t="shared" ca="1" si="20"/>
        <v>-1178.5602221676691</v>
      </c>
      <c r="I48" s="192">
        <f t="shared" ca="1" si="20"/>
        <v>3009.4933585209219</v>
      </c>
      <c r="J48" s="192">
        <f t="shared" ca="1" si="20"/>
        <v>3790.7308232154319</v>
      </c>
      <c r="K48" s="192">
        <f t="shared" ca="1" si="20"/>
        <v>-97.924223096513742</v>
      </c>
    </row>
    <row r="49" spans="1:11" ht="15" hidden="1" customHeight="1">
      <c r="A49" s="172"/>
      <c r="B49" s="172" t="s">
        <v>96</v>
      </c>
      <c r="C49" s="172"/>
      <c r="D49" s="174">
        <v>10025</v>
      </c>
      <c r="E49" s="174">
        <v>9825</v>
      </c>
      <c r="F49" s="174">
        <v>9692</v>
      </c>
      <c r="G49" s="175">
        <f>E49</f>
        <v>9825</v>
      </c>
      <c r="H49" s="175">
        <f>F49</f>
        <v>9692</v>
      </c>
      <c r="I49" s="175">
        <f t="shared" ref="I49:K49" si="21">G49</f>
        <v>9825</v>
      </c>
      <c r="J49" s="175">
        <f t="shared" si="21"/>
        <v>9692</v>
      </c>
      <c r="K49" s="175">
        <f t="shared" si="21"/>
        <v>9825</v>
      </c>
    </row>
    <row r="50" spans="1:11" hidden="1">
      <c r="A50" s="172"/>
      <c r="B50" s="173" t="s">
        <v>97</v>
      </c>
      <c r="C50" s="172"/>
      <c r="D50" s="176">
        <f t="shared" ref="D50:K50" si="22">SUM(D48:D49)</f>
        <v>9825</v>
      </c>
      <c r="E50" s="176">
        <f t="shared" si="22"/>
        <v>9692</v>
      </c>
      <c r="F50" s="176">
        <f t="shared" si="22"/>
        <v>11488</v>
      </c>
      <c r="G50" s="176">
        <f t="shared" ca="1" si="22"/>
        <v>10907.075799018483</v>
      </c>
      <c r="H50" s="176">
        <f t="shared" ca="1" si="22"/>
        <v>8513.4397778323309</v>
      </c>
      <c r="I50" s="176">
        <f t="shared" ca="1" si="22"/>
        <v>12834.493358520922</v>
      </c>
      <c r="J50" s="176">
        <f t="shared" ca="1" si="22"/>
        <v>13482.730823215432</v>
      </c>
      <c r="K50" s="176">
        <f t="shared" ca="1" si="22"/>
        <v>9727.0757769034863</v>
      </c>
    </row>
    <row r="51" spans="1:11" hidden="1">
      <c r="A51" s="172"/>
      <c r="B51" s="172" t="s">
        <v>98</v>
      </c>
      <c r="C51" s="172"/>
      <c r="D51" s="177">
        <v>306</v>
      </c>
      <c r="E51" s="177">
        <v>326</v>
      </c>
      <c r="F51" s="177">
        <v>660</v>
      </c>
      <c r="G51" s="178">
        <f>D51</f>
        <v>306</v>
      </c>
      <c r="H51" s="178">
        <f>E51</f>
        <v>326</v>
      </c>
      <c r="I51" s="178">
        <f>G51</f>
        <v>306</v>
      </c>
      <c r="J51" s="178">
        <f>H51</f>
        <v>326</v>
      </c>
      <c r="K51" s="178">
        <f>I51</f>
        <v>306</v>
      </c>
    </row>
    <row r="52" spans="1:11" hidden="1">
      <c r="A52" s="173"/>
      <c r="B52" s="173" t="s">
        <v>99</v>
      </c>
      <c r="C52" s="172"/>
      <c r="D52" s="176">
        <f t="shared" ref="D52:K52" si="23">D50-D51</f>
        <v>9519</v>
      </c>
      <c r="E52" s="176">
        <f t="shared" si="23"/>
        <v>9366</v>
      </c>
      <c r="F52" s="176">
        <f t="shared" si="23"/>
        <v>10828</v>
      </c>
      <c r="G52" s="176">
        <f t="shared" ca="1" si="23"/>
        <v>10601.075799018483</v>
      </c>
      <c r="H52" s="176">
        <f t="shared" ca="1" si="23"/>
        <v>8187.4397778323309</v>
      </c>
      <c r="I52" s="176">
        <f t="shared" ca="1" si="23"/>
        <v>12528.493358520922</v>
      </c>
      <c r="J52" s="176">
        <f t="shared" ca="1" si="23"/>
        <v>13156.730823215432</v>
      </c>
      <c r="K52" s="176">
        <f t="shared" ca="1" si="23"/>
        <v>9421.0757769034863</v>
      </c>
    </row>
    <row r="53" spans="1:11">
      <c r="A53" s="72" t="s">
        <v>49</v>
      </c>
      <c r="B53" s="74"/>
      <c r="C53" s="72"/>
      <c r="D53" s="73"/>
      <c r="E53" s="73"/>
      <c r="F53" s="73"/>
      <c r="G53" s="73"/>
      <c r="H53" s="73"/>
      <c r="I53" s="73"/>
      <c r="J53" s="73"/>
      <c r="K53" s="73"/>
    </row>
    <row r="54" spans="1:11">
      <c r="A54" s="105"/>
      <c r="B54" s="105" t="s">
        <v>100</v>
      </c>
      <c r="C54" s="105"/>
      <c r="D54" s="106"/>
      <c r="E54" s="106"/>
      <c r="F54" s="106"/>
      <c r="G54" s="106">
        <f ca="1">G36+G25+G47</f>
        <v>9158.2384538639126</v>
      </c>
      <c r="H54" s="106">
        <f ca="1">H36+H25+H47</f>
        <v>8999.5326388629219</v>
      </c>
      <c r="I54" s="106">
        <f ca="1">I36+I25+I47</f>
        <v>12929.350013325515</v>
      </c>
      <c r="J54" s="106">
        <f ca="1">J36+J25+J47</f>
        <v>14352.539790010493</v>
      </c>
      <c r="K54" s="106">
        <f ca="1">K36+K25+K47</f>
        <v>11820.384081839917</v>
      </c>
    </row>
    <row r="56" spans="1:11">
      <c r="D56" s="169"/>
    </row>
    <row r="57" spans="1:11">
      <c r="C57" s="538" t="s">
        <v>101</v>
      </c>
      <c r="D57">
        <v>2022</v>
      </c>
      <c r="E57">
        <v>2023</v>
      </c>
      <c r="F57">
        <v>2024</v>
      </c>
      <c r="G57">
        <v>2025</v>
      </c>
      <c r="H57">
        <v>2026</v>
      </c>
      <c r="I57">
        <v>2027</v>
      </c>
      <c r="J57">
        <v>2028</v>
      </c>
      <c r="K57">
        <v>2029</v>
      </c>
    </row>
    <row r="58" spans="1:11">
      <c r="C58" t="s">
        <v>102</v>
      </c>
      <c r="D58" s="532">
        <f t="shared" ref="D58:K59" si="24">D24</f>
        <v>-605</v>
      </c>
      <c r="E58" s="532">
        <f t="shared" si="24"/>
        <v>-846</v>
      </c>
      <c r="F58" s="532">
        <f t="shared" si="24"/>
        <v>-6234</v>
      </c>
      <c r="G58" s="532">
        <f t="shared" ca="1" si="24"/>
        <v>-1683.965673201571</v>
      </c>
      <c r="H58" s="532">
        <f t="shared" ca="1" si="24"/>
        <v>83.162582155326618</v>
      </c>
      <c r="I58" s="532">
        <f t="shared" ca="1" si="24"/>
        <v>167.10337737118493</v>
      </c>
      <c r="J58" s="532">
        <f t="shared" ca="1" si="24"/>
        <v>292.59597177784008</v>
      </c>
      <c r="K58" s="532">
        <f t="shared" ca="1" si="24"/>
        <v>287.85525860922212</v>
      </c>
    </row>
    <row r="59" spans="1:11">
      <c r="C59" t="s">
        <v>54</v>
      </c>
      <c r="D59" s="532">
        <f t="shared" si="24"/>
        <v>11018</v>
      </c>
      <c r="E59" s="532">
        <f t="shared" si="24"/>
        <v>11599</v>
      </c>
      <c r="F59" s="532">
        <f t="shared" si="24"/>
        <v>6805</v>
      </c>
      <c r="G59" s="532">
        <f t="shared" ca="1" si="24"/>
        <v>10066.6639373853</v>
      </c>
      <c r="H59" s="532">
        <f t="shared" ca="1" si="24"/>
        <v>13327.588389909435</v>
      </c>
      <c r="I59" s="532">
        <f t="shared" ca="1" si="24"/>
        <v>14015.076051924354</v>
      </c>
      <c r="J59" s="532">
        <f t="shared" ca="1" si="24"/>
        <v>15407.43778784628</v>
      </c>
      <c r="K59" s="532">
        <f t="shared" ca="1" si="24"/>
        <v>16268.199258589135</v>
      </c>
    </row>
    <row r="60" spans="1:11">
      <c r="C60" t="s">
        <v>103</v>
      </c>
      <c r="D60" s="532">
        <f t="shared" ref="D60:K60" si="25">D31</f>
        <v>-1409</v>
      </c>
      <c r="E60" s="532">
        <f t="shared" si="25"/>
        <v>-1778</v>
      </c>
      <c r="F60" s="532">
        <f t="shared" si="25"/>
        <v>-2024</v>
      </c>
      <c r="G60" s="532">
        <f t="shared" si="25"/>
        <v>-2021.4254835213869</v>
      </c>
      <c r="H60" s="532">
        <f t="shared" si="25"/>
        <v>-2077.0557510465142</v>
      </c>
      <c r="I60" s="532">
        <f t="shared" si="25"/>
        <v>-2127.7260385988398</v>
      </c>
      <c r="J60" s="532">
        <f t="shared" si="25"/>
        <v>-2167.897997835787</v>
      </c>
      <c r="K60" s="532">
        <f t="shared" si="25"/>
        <v>-2196.8151767492186</v>
      </c>
    </row>
    <row r="61" spans="1:11">
      <c r="C61" t="s">
        <v>74</v>
      </c>
      <c r="D61" s="532">
        <f t="shared" ref="D61:K61" si="26">D36</f>
        <v>-763</v>
      </c>
      <c r="E61" s="532">
        <f t="shared" si="26"/>
        <v>-3349</v>
      </c>
      <c r="F61" s="532">
        <f t="shared" si="26"/>
        <v>2524</v>
      </c>
      <c r="G61" s="532">
        <f t="shared" si="26"/>
        <v>-285.42548352138692</v>
      </c>
      <c r="H61" s="532">
        <f t="shared" si="26"/>
        <v>-3705.0557510465142</v>
      </c>
      <c r="I61" s="532">
        <f t="shared" si="26"/>
        <v>-462.72603859883975</v>
      </c>
      <c r="J61" s="532">
        <f t="shared" si="26"/>
        <v>-431.89799783578701</v>
      </c>
      <c r="K61" s="532">
        <f t="shared" si="26"/>
        <v>-3824.8151767492182</v>
      </c>
    </row>
    <row r="62" spans="1:11">
      <c r="C62" t="s">
        <v>84</v>
      </c>
      <c r="D62" s="532">
        <f t="shared" ref="D62:I62" si="27">D46</f>
        <v>-10250</v>
      </c>
      <c r="E62" s="532">
        <f t="shared" si="27"/>
        <v>-8310</v>
      </c>
      <c r="F62" s="532">
        <f t="shared" si="27"/>
        <v>-6910</v>
      </c>
      <c r="G62" s="532">
        <f t="shared" ca="1" si="27"/>
        <v>-8076.1626548454296</v>
      </c>
      <c r="H62" s="532">
        <f>-10718.1</f>
        <v>-10718.1</v>
      </c>
      <c r="I62" s="532">
        <f t="shared" ca="1" si="27"/>
        <v>-9919.8566548045928</v>
      </c>
      <c r="J62" s="532">
        <f>-10561.8</f>
        <v>-10561.8</v>
      </c>
      <c r="K62" s="532">
        <f>-11918.3</f>
        <v>-11918.3</v>
      </c>
    </row>
    <row r="63" spans="1:11">
      <c r="C63" t="s">
        <v>95</v>
      </c>
      <c r="D63" s="532">
        <f t="shared" ref="D63:K63" si="28">D48</f>
        <v>-200</v>
      </c>
      <c r="E63" s="532">
        <f t="shared" si="28"/>
        <v>-133</v>
      </c>
      <c r="F63" s="532">
        <f t="shared" si="28"/>
        <v>1796</v>
      </c>
      <c r="G63" s="532">
        <f t="shared" ca="1" si="28"/>
        <v>1082.0757990184829</v>
      </c>
      <c r="H63" s="532">
        <f t="shared" ca="1" si="28"/>
        <v>-1178.5602221676691</v>
      </c>
      <c r="I63" s="532">
        <f t="shared" ca="1" si="28"/>
        <v>3009.4933585209219</v>
      </c>
      <c r="J63" s="532">
        <f t="shared" ca="1" si="28"/>
        <v>3790.7308232154319</v>
      </c>
      <c r="K63" s="532">
        <f t="shared" ca="1" si="28"/>
        <v>-97.924223096513742</v>
      </c>
    </row>
  </sheetData>
  <pageMargins left="0.7" right="0.7" top="0.75" bottom="0.75" header="0.3" footer="0.3"/>
  <pageSetup paperSize="9" orientation="portrait"/>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3"/>
  <sheetViews>
    <sheetView workbookViewId="0">
      <pane ySplit="5" topLeftCell="A6" activePane="bottomLeft" state="frozen"/>
      <selection pane="bottomLeft" activeCell="F14" sqref="F14"/>
    </sheetView>
  </sheetViews>
  <sheetFormatPr baseColWidth="10" defaultColWidth="8.83203125" defaultRowHeight="20" customHeight="1"/>
  <cols>
    <col min="1" max="2" width="2.6640625" style="1" customWidth="1"/>
    <col min="3" max="3" width="54.6640625" style="1" customWidth="1"/>
    <col min="4" max="5" width="9.6640625" style="62" customWidth="1"/>
    <col min="6" max="11" width="9.6640625" style="1" customWidth="1"/>
    <col min="12" max="256" width="9.1640625" style="1"/>
    <col min="257" max="258" width="2.6640625" style="1" customWidth="1"/>
    <col min="259" max="259" width="54.6640625" style="1" customWidth="1"/>
    <col min="260" max="267" width="9.6640625" style="1" customWidth="1"/>
    <col min="268" max="512" width="9.1640625" style="1"/>
    <col min="513" max="514" width="2.6640625" style="1" customWidth="1"/>
    <col min="515" max="515" width="54.6640625" style="1" customWidth="1"/>
    <col min="516" max="523" width="9.6640625" style="1" customWidth="1"/>
    <col min="524" max="768" width="9.1640625" style="1"/>
    <col min="769" max="770" width="2.6640625" style="1" customWidth="1"/>
    <col min="771" max="771" width="54.6640625" style="1" customWidth="1"/>
    <col min="772" max="779" width="9.6640625" style="1" customWidth="1"/>
    <col min="780" max="1024" width="9.1640625" style="1"/>
    <col min="1025" max="1026" width="2.6640625" style="1" customWidth="1"/>
    <col min="1027" max="1027" width="54.6640625" style="1" customWidth="1"/>
    <col min="1028" max="1035" width="9.6640625" style="1" customWidth="1"/>
    <col min="1036" max="1280" width="9.1640625" style="1"/>
    <col min="1281" max="1282" width="2.6640625" style="1" customWidth="1"/>
    <col min="1283" max="1283" width="54.6640625" style="1" customWidth="1"/>
    <col min="1284" max="1291" width="9.6640625" style="1" customWidth="1"/>
    <col min="1292" max="1536" width="9.1640625" style="1"/>
    <col min="1537" max="1538" width="2.6640625" style="1" customWidth="1"/>
    <col min="1539" max="1539" width="54.6640625" style="1" customWidth="1"/>
    <col min="1540" max="1547" width="9.6640625" style="1" customWidth="1"/>
    <col min="1548" max="1792" width="9.1640625" style="1"/>
    <col min="1793" max="1794" width="2.6640625" style="1" customWidth="1"/>
    <col min="1795" max="1795" width="54.6640625" style="1" customWidth="1"/>
    <col min="1796" max="1803" width="9.6640625" style="1" customWidth="1"/>
    <col min="1804" max="2048" width="9.1640625" style="1"/>
    <col min="2049" max="2050" width="2.6640625" style="1" customWidth="1"/>
    <col min="2051" max="2051" width="54.6640625" style="1" customWidth="1"/>
    <col min="2052" max="2059" width="9.6640625" style="1" customWidth="1"/>
    <col min="2060" max="2304" width="9.1640625" style="1"/>
    <col min="2305" max="2306" width="2.6640625" style="1" customWidth="1"/>
    <col min="2307" max="2307" width="54.6640625" style="1" customWidth="1"/>
    <col min="2308" max="2315" width="9.6640625" style="1" customWidth="1"/>
    <col min="2316" max="2560" width="9.1640625" style="1"/>
    <col min="2561" max="2562" width="2.6640625" style="1" customWidth="1"/>
    <col min="2563" max="2563" width="54.6640625" style="1" customWidth="1"/>
    <col min="2564" max="2571" width="9.6640625" style="1" customWidth="1"/>
    <col min="2572" max="2816" width="9.1640625" style="1"/>
    <col min="2817" max="2818" width="2.6640625" style="1" customWidth="1"/>
    <col min="2819" max="2819" width="54.6640625" style="1" customWidth="1"/>
    <col min="2820" max="2827" width="9.6640625" style="1" customWidth="1"/>
    <col min="2828" max="3072" width="9.1640625" style="1"/>
    <col min="3073" max="3074" width="2.6640625" style="1" customWidth="1"/>
    <col min="3075" max="3075" width="54.6640625" style="1" customWidth="1"/>
    <col min="3076" max="3083" width="9.6640625" style="1" customWidth="1"/>
    <col min="3084" max="3328" width="9.1640625" style="1"/>
    <col min="3329" max="3330" width="2.6640625" style="1" customWidth="1"/>
    <col min="3331" max="3331" width="54.6640625" style="1" customWidth="1"/>
    <col min="3332" max="3339" width="9.6640625" style="1" customWidth="1"/>
    <col min="3340" max="3584" width="9.1640625" style="1"/>
    <col min="3585" max="3586" width="2.6640625" style="1" customWidth="1"/>
    <col min="3587" max="3587" width="54.6640625" style="1" customWidth="1"/>
    <col min="3588" max="3595" width="9.6640625" style="1" customWidth="1"/>
    <col min="3596" max="3840" width="9.1640625" style="1"/>
    <col min="3841" max="3842" width="2.6640625" style="1" customWidth="1"/>
    <col min="3843" max="3843" width="54.6640625" style="1" customWidth="1"/>
    <col min="3844" max="3851" width="9.6640625" style="1" customWidth="1"/>
    <col min="3852" max="4096" width="9.1640625" style="1"/>
    <col min="4097" max="4098" width="2.6640625" style="1" customWidth="1"/>
    <col min="4099" max="4099" width="54.6640625" style="1" customWidth="1"/>
    <col min="4100" max="4107" width="9.6640625" style="1" customWidth="1"/>
    <col min="4108" max="4352" width="9.1640625" style="1"/>
    <col min="4353" max="4354" width="2.6640625" style="1" customWidth="1"/>
    <col min="4355" max="4355" width="54.6640625" style="1" customWidth="1"/>
    <col min="4356" max="4363" width="9.6640625" style="1" customWidth="1"/>
    <col min="4364" max="4608" width="9.1640625" style="1"/>
    <col min="4609" max="4610" width="2.6640625" style="1" customWidth="1"/>
    <col min="4611" max="4611" width="54.6640625" style="1" customWidth="1"/>
    <col min="4612" max="4619" width="9.6640625" style="1" customWidth="1"/>
    <col min="4620" max="4864" width="9.1640625" style="1"/>
    <col min="4865" max="4866" width="2.6640625" style="1" customWidth="1"/>
    <col min="4867" max="4867" width="54.6640625" style="1" customWidth="1"/>
    <col min="4868" max="4875" width="9.6640625" style="1" customWidth="1"/>
    <col min="4876" max="5120" width="9.1640625" style="1"/>
    <col min="5121" max="5122" width="2.6640625" style="1" customWidth="1"/>
    <col min="5123" max="5123" width="54.6640625" style="1" customWidth="1"/>
    <col min="5124" max="5131" width="9.6640625" style="1" customWidth="1"/>
    <col min="5132" max="5376" width="9.1640625" style="1"/>
    <col min="5377" max="5378" width="2.6640625" style="1" customWidth="1"/>
    <col min="5379" max="5379" width="54.6640625" style="1" customWidth="1"/>
    <col min="5380" max="5387" width="9.6640625" style="1" customWidth="1"/>
    <col min="5388" max="5632" width="9.1640625" style="1"/>
    <col min="5633" max="5634" width="2.6640625" style="1" customWidth="1"/>
    <col min="5635" max="5635" width="54.6640625" style="1" customWidth="1"/>
    <col min="5636" max="5643" width="9.6640625" style="1" customWidth="1"/>
    <col min="5644" max="5888" width="9.1640625" style="1"/>
    <col min="5889" max="5890" width="2.6640625" style="1" customWidth="1"/>
    <col min="5891" max="5891" width="54.6640625" style="1" customWidth="1"/>
    <col min="5892" max="5899" width="9.6640625" style="1" customWidth="1"/>
    <col min="5900" max="6144" width="9.1640625" style="1"/>
    <col min="6145" max="6146" width="2.6640625" style="1" customWidth="1"/>
    <col min="6147" max="6147" width="54.6640625" style="1" customWidth="1"/>
    <col min="6148" max="6155" width="9.6640625" style="1" customWidth="1"/>
    <col min="6156" max="6400" width="9.1640625" style="1"/>
    <col min="6401" max="6402" width="2.6640625" style="1" customWidth="1"/>
    <col min="6403" max="6403" width="54.6640625" style="1" customWidth="1"/>
    <col min="6404" max="6411" width="9.6640625" style="1" customWidth="1"/>
    <col min="6412" max="6656" width="9.1640625" style="1"/>
    <col min="6657" max="6658" width="2.6640625" style="1" customWidth="1"/>
    <col min="6659" max="6659" width="54.6640625" style="1" customWidth="1"/>
    <col min="6660" max="6667" width="9.6640625" style="1" customWidth="1"/>
    <col min="6668" max="6912" width="9.1640625" style="1"/>
    <col min="6913" max="6914" width="2.6640625" style="1" customWidth="1"/>
    <col min="6915" max="6915" width="54.6640625" style="1" customWidth="1"/>
    <col min="6916" max="6923" width="9.6640625" style="1" customWidth="1"/>
    <col min="6924" max="7168" width="9.1640625" style="1"/>
    <col min="7169" max="7170" width="2.6640625" style="1" customWidth="1"/>
    <col min="7171" max="7171" width="54.6640625" style="1" customWidth="1"/>
    <col min="7172" max="7179" width="9.6640625" style="1" customWidth="1"/>
    <col min="7180" max="7424" width="9.1640625" style="1"/>
    <col min="7425" max="7426" width="2.6640625" style="1" customWidth="1"/>
    <col min="7427" max="7427" width="54.6640625" style="1" customWidth="1"/>
    <col min="7428" max="7435" width="9.6640625" style="1" customWidth="1"/>
    <col min="7436" max="7680" width="9.1640625" style="1"/>
    <col min="7681" max="7682" width="2.6640625" style="1" customWidth="1"/>
    <col min="7683" max="7683" width="54.6640625" style="1" customWidth="1"/>
    <col min="7684" max="7691" width="9.6640625" style="1" customWidth="1"/>
    <col min="7692" max="7936" width="9.1640625" style="1"/>
    <col min="7937" max="7938" width="2.6640625" style="1" customWidth="1"/>
    <col min="7939" max="7939" width="54.6640625" style="1" customWidth="1"/>
    <col min="7940" max="7947" width="9.6640625" style="1" customWidth="1"/>
    <col min="7948" max="8192" width="9.1640625" style="1"/>
    <col min="8193" max="8194" width="2.6640625" style="1" customWidth="1"/>
    <col min="8195" max="8195" width="54.6640625" style="1" customWidth="1"/>
    <col min="8196" max="8203" width="9.6640625" style="1" customWidth="1"/>
    <col min="8204" max="8448" width="9.1640625" style="1"/>
    <col min="8449" max="8450" width="2.6640625" style="1" customWidth="1"/>
    <col min="8451" max="8451" width="54.6640625" style="1" customWidth="1"/>
    <col min="8452" max="8459" width="9.6640625" style="1" customWidth="1"/>
    <col min="8460" max="8704" width="9.1640625" style="1"/>
    <col min="8705" max="8706" width="2.6640625" style="1" customWidth="1"/>
    <col min="8707" max="8707" width="54.6640625" style="1" customWidth="1"/>
    <col min="8708" max="8715" width="9.6640625" style="1" customWidth="1"/>
    <col min="8716" max="8960" width="9.1640625" style="1"/>
    <col min="8961" max="8962" width="2.6640625" style="1" customWidth="1"/>
    <col min="8963" max="8963" width="54.6640625" style="1" customWidth="1"/>
    <col min="8964" max="8971" width="9.6640625" style="1" customWidth="1"/>
    <col min="8972" max="9216" width="9.1640625" style="1"/>
    <col min="9217" max="9218" width="2.6640625" style="1" customWidth="1"/>
    <col min="9219" max="9219" width="54.6640625" style="1" customWidth="1"/>
    <col min="9220" max="9227" width="9.6640625" style="1" customWidth="1"/>
    <col min="9228" max="9472" width="9.1640625" style="1"/>
    <col min="9473" max="9474" width="2.6640625" style="1" customWidth="1"/>
    <col min="9475" max="9475" width="54.6640625" style="1" customWidth="1"/>
    <col min="9476" max="9483" width="9.6640625" style="1" customWidth="1"/>
    <col min="9484" max="9728" width="9.1640625" style="1"/>
    <col min="9729" max="9730" width="2.6640625" style="1" customWidth="1"/>
    <col min="9731" max="9731" width="54.6640625" style="1" customWidth="1"/>
    <col min="9732" max="9739" width="9.6640625" style="1" customWidth="1"/>
    <col min="9740" max="9984" width="9.1640625" style="1"/>
    <col min="9985" max="9986" width="2.6640625" style="1" customWidth="1"/>
    <col min="9987" max="9987" width="54.6640625" style="1" customWidth="1"/>
    <col min="9988" max="9995" width="9.6640625" style="1" customWidth="1"/>
    <col min="9996" max="10240" width="9.1640625" style="1"/>
    <col min="10241" max="10242" width="2.6640625" style="1" customWidth="1"/>
    <col min="10243" max="10243" width="54.6640625" style="1" customWidth="1"/>
    <col min="10244" max="10251" width="9.6640625" style="1" customWidth="1"/>
    <col min="10252" max="10496" width="9.1640625" style="1"/>
    <col min="10497" max="10498" width="2.6640625" style="1" customWidth="1"/>
    <col min="10499" max="10499" width="54.6640625" style="1" customWidth="1"/>
    <col min="10500" max="10507" width="9.6640625" style="1" customWidth="1"/>
    <col min="10508" max="10752" width="9.1640625" style="1"/>
    <col min="10753" max="10754" width="2.6640625" style="1" customWidth="1"/>
    <col min="10755" max="10755" width="54.6640625" style="1" customWidth="1"/>
    <col min="10756" max="10763" width="9.6640625" style="1" customWidth="1"/>
    <col min="10764" max="11008" width="9.1640625" style="1"/>
    <col min="11009" max="11010" width="2.6640625" style="1" customWidth="1"/>
    <col min="11011" max="11011" width="54.6640625" style="1" customWidth="1"/>
    <col min="11012" max="11019" width="9.6640625" style="1" customWidth="1"/>
    <col min="11020" max="11264" width="9.1640625" style="1"/>
    <col min="11265" max="11266" width="2.6640625" style="1" customWidth="1"/>
    <col min="11267" max="11267" width="54.6640625" style="1" customWidth="1"/>
    <col min="11268" max="11275" width="9.6640625" style="1" customWidth="1"/>
    <col min="11276" max="11520" width="9.1640625" style="1"/>
    <col min="11521" max="11522" width="2.6640625" style="1" customWidth="1"/>
    <col min="11523" max="11523" width="54.6640625" style="1" customWidth="1"/>
    <col min="11524" max="11531" width="9.6640625" style="1" customWidth="1"/>
    <col min="11532" max="11776" width="9.1640625" style="1"/>
    <col min="11777" max="11778" width="2.6640625" style="1" customWidth="1"/>
    <col min="11779" max="11779" width="54.6640625" style="1" customWidth="1"/>
    <col min="11780" max="11787" width="9.6640625" style="1" customWidth="1"/>
    <col min="11788" max="12032" width="9.1640625" style="1"/>
    <col min="12033" max="12034" width="2.6640625" style="1" customWidth="1"/>
    <col min="12035" max="12035" width="54.6640625" style="1" customWidth="1"/>
    <col min="12036" max="12043" width="9.6640625" style="1" customWidth="1"/>
    <col min="12044" max="12288" width="9.1640625" style="1"/>
    <col min="12289" max="12290" width="2.6640625" style="1" customWidth="1"/>
    <col min="12291" max="12291" width="54.6640625" style="1" customWidth="1"/>
    <col min="12292" max="12299" width="9.6640625" style="1" customWidth="1"/>
    <col min="12300" max="12544" width="9.1640625" style="1"/>
    <col min="12545" max="12546" width="2.6640625" style="1" customWidth="1"/>
    <col min="12547" max="12547" width="54.6640625" style="1" customWidth="1"/>
    <col min="12548" max="12555" width="9.6640625" style="1" customWidth="1"/>
    <col min="12556" max="12800" width="9.1640625" style="1"/>
    <col min="12801" max="12802" width="2.6640625" style="1" customWidth="1"/>
    <col min="12803" max="12803" width="54.6640625" style="1" customWidth="1"/>
    <col min="12804" max="12811" width="9.6640625" style="1" customWidth="1"/>
    <col min="12812" max="13056" width="9.1640625" style="1"/>
    <col min="13057" max="13058" width="2.6640625" style="1" customWidth="1"/>
    <col min="13059" max="13059" width="54.6640625" style="1" customWidth="1"/>
    <col min="13060" max="13067" width="9.6640625" style="1" customWidth="1"/>
    <col min="13068" max="13312" width="9.1640625" style="1"/>
    <col min="13313" max="13314" width="2.6640625" style="1" customWidth="1"/>
    <col min="13315" max="13315" width="54.6640625" style="1" customWidth="1"/>
    <col min="13316" max="13323" width="9.6640625" style="1" customWidth="1"/>
    <col min="13324" max="13568" width="9.1640625" style="1"/>
    <col min="13569" max="13570" width="2.6640625" style="1" customWidth="1"/>
    <col min="13571" max="13571" width="54.6640625" style="1" customWidth="1"/>
    <col min="13572" max="13579" width="9.6640625" style="1" customWidth="1"/>
    <col min="13580" max="13824" width="9.1640625" style="1"/>
    <col min="13825" max="13826" width="2.6640625" style="1" customWidth="1"/>
    <col min="13827" max="13827" width="54.6640625" style="1" customWidth="1"/>
    <col min="13828" max="13835" width="9.6640625" style="1" customWidth="1"/>
    <col min="13836" max="14080" width="9.1640625" style="1"/>
    <col min="14081" max="14082" width="2.6640625" style="1" customWidth="1"/>
    <col min="14083" max="14083" width="54.6640625" style="1" customWidth="1"/>
    <col min="14084" max="14091" width="9.6640625" style="1" customWidth="1"/>
    <col min="14092" max="14336" width="9.1640625" style="1"/>
    <col min="14337" max="14338" width="2.6640625" style="1" customWidth="1"/>
    <col min="14339" max="14339" width="54.6640625" style="1" customWidth="1"/>
    <col min="14340" max="14347" width="9.6640625" style="1" customWidth="1"/>
    <col min="14348" max="14592" width="9.1640625" style="1"/>
    <col min="14593" max="14594" width="2.6640625" style="1" customWidth="1"/>
    <col min="14595" max="14595" width="54.6640625" style="1" customWidth="1"/>
    <col min="14596" max="14603" width="9.6640625" style="1" customWidth="1"/>
    <col min="14604" max="14848" width="9.1640625" style="1"/>
    <col min="14849" max="14850" width="2.6640625" style="1" customWidth="1"/>
    <col min="14851" max="14851" width="54.6640625" style="1" customWidth="1"/>
    <col min="14852" max="14859" width="9.6640625" style="1" customWidth="1"/>
    <col min="14860" max="15104" width="9.1640625" style="1"/>
    <col min="15105" max="15106" width="2.6640625" style="1" customWidth="1"/>
    <col min="15107" max="15107" width="54.6640625" style="1" customWidth="1"/>
    <col min="15108" max="15115" width="9.6640625" style="1" customWidth="1"/>
    <col min="15116" max="15360" width="9.1640625" style="1"/>
    <col min="15361" max="15362" width="2.6640625" style="1" customWidth="1"/>
    <col min="15363" max="15363" width="54.6640625" style="1" customWidth="1"/>
    <col min="15364" max="15371" width="9.6640625" style="1" customWidth="1"/>
    <col min="15372" max="15616" width="9.1640625" style="1"/>
    <col min="15617" max="15618" width="2.6640625" style="1" customWidth="1"/>
    <col min="15619" max="15619" width="54.6640625" style="1" customWidth="1"/>
    <col min="15620" max="15627" width="9.6640625" style="1" customWidth="1"/>
    <col min="15628" max="15872" width="9.1640625" style="1"/>
    <col min="15873" max="15874" width="2.6640625" style="1" customWidth="1"/>
    <col min="15875" max="15875" width="54.6640625" style="1" customWidth="1"/>
    <col min="15876" max="15883" width="9.6640625" style="1" customWidth="1"/>
    <col min="15884" max="16128" width="9.1640625" style="1"/>
    <col min="16129" max="16130" width="2.6640625" style="1" customWidth="1"/>
    <col min="16131" max="16131" width="54.6640625" style="1" customWidth="1"/>
    <col min="16132" max="16139" width="9.6640625" style="1" customWidth="1"/>
    <col min="16140" max="16384" width="9.1640625" style="1"/>
  </cols>
  <sheetData>
    <row r="1" spans="1:12" ht="29.75" customHeight="1">
      <c r="A1" s="25"/>
      <c r="B1" s="25"/>
      <c r="C1" s="25"/>
      <c r="D1" s="26"/>
      <c r="E1" s="26"/>
      <c r="F1" s="25"/>
      <c r="G1" s="25"/>
      <c r="H1" s="25"/>
      <c r="I1" s="25"/>
      <c r="J1" s="25"/>
      <c r="K1" s="25"/>
    </row>
    <row r="2" spans="1:12" ht="12.75" customHeight="1">
      <c r="A2" s="2" t="s">
        <v>158</v>
      </c>
      <c r="B2" s="2"/>
      <c r="C2" s="2"/>
      <c r="D2" s="4"/>
      <c r="E2" s="4"/>
      <c r="F2" s="2"/>
      <c r="G2" s="2"/>
      <c r="H2" s="2"/>
      <c r="I2" s="2"/>
      <c r="J2" s="2"/>
      <c r="K2" s="2"/>
    </row>
    <row r="3" spans="1:12" ht="12.75" customHeight="1">
      <c r="A3" s="5" t="s">
        <v>1</v>
      </c>
      <c r="B3" s="27"/>
      <c r="C3" s="27"/>
      <c r="D3" s="107" t="s">
        <v>52</v>
      </c>
      <c r="E3" s="107"/>
      <c r="F3" s="28"/>
      <c r="G3" s="29" t="s">
        <v>2</v>
      </c>
      <c r="H3" s="108"/>
      <c r="I3" s="109"/>
      <c r="J3" s="108"/>
      <c r="K3" s="108"/>
    </row>
    <row r="4" spans="1:12" ht="12.75" customHeight="1">
      <c r="A4" s="5"/>
      <c r="B4" s="27"/>
      <c r="C4" s="27"/>
      <c r="D4" s="6"/>
      <c r="E4" s="6"/>
      <c r="F4" s="7"/>
      <c r="G4" s="7"/>
      <c r="H4" s="7"/>
      <c r="I4" s="7"/>
      <c r="J4" s="7"/>
      <c r="K4" s="7"/>
    </row>
    <row r="5" spans="1:12" ht="12.75" customHeight="1">
      <c r="A5" s="110" t="s">
        <v>3</v>
      </c>
      <c r="B5" s="111"/>
      <c r="C5" s="111"/>
      <c r="D5" s="112" t="s">
        <v>4</v>
      </c>
      <c r="E5" s="113" t="s">
        <v>5</v>
      </c>
      <c r="F5" s="113" t="s">
        <v>6</v>
      </c>
      <c r="G5" s="114" t="s">
        <v>7</v>
      </c>
      <c r="H5" s="114" t="s">
        <v>8</v>
      </c>
      <c r="I5" s="114" t="s">
        <v>9</v>
      </c>
      <c r="J5" s="114" t="s">
        <v>10</v>
      </c>
      <c r="K5" s="114" t="s">
        <v>11</v>
      </c>
    </row>
    <row r="6" spans="1:12" ht="21" customHeight="1">
      <c r="A6" s="11" t="s">
        <v>159</v>
      </c>
      <c r="B6" s="11"/>
      <c r="C6" s="11"/>
      <c r="D6" s="30"/>
      <c r="E6" s="30"/>
      <c r="F6" s="30"/>
      <c r="G6" s="30"/>
      <c r="H6" s="30"/>
      <c r="I6" s="30"/>
      <c r="J6" s="30"/>
      <c r="K6" s="30"/>
    </row>
    <row r="7" spans="1:12" ht="12.75" customHeight="1">
      <c r="A7" s="11"/>
      <c r="B7" s="10" t="s">
        <v>16</v>
      </c>
      <c r="C7" s="10"/>
      <c r="D7" s="31">
        <f>'Balance Sheet'!D10</f>
        <v>4233</v>
      </c>
      <c r="E7" s="31">
        <f>'Balance Sheet'!E10</f>
        <v>4424</v>
      </c>
      <c r="F7" s="31">
        <f>'Balance Sheet'!F10</f>
        <v>4728</v>
      </c>
      <c r="G7" s="32">
        <f>G8/360*'Income Statement'!G10</f>
        <v>4998.1171595418027</v>
      </c>
      <c r="H7" s="32">
        <f>H8/360*'Income Statement'!H10</f>
        <v>5126.5328606060802</v>
      </c>
      <c r="I7" s="32">
        <f>I8/360*'Income Statement'!I10</f>
        <v>5312.315379339324</v>
      </c>
      <c r="J7" s="32">
        <f>J8/360*'Income Statement'!J10</f>
        <v>5551.369571409592</v>
      </c>
      <c r="K7" s="32">
        <f>K8/360*'Income Statement'!K10</f>
        <v>5773.4243542659769</v>
      </c>
    </row>
    <row r="8" spans="1:12" ht="12.75" customHeight="1">
      <c r="A8" s="11"/>
      <c r="B8" s="10"/>
      <c r="C8" s="33" t="s">
        <v>160</v>
      </c>
      <c r="D8" s="34"/>
      <c r="E8" s="34">
        <f>AVERAGE(D7:E7)/'Income Statement'!E10*360</f>
        <v>89.596366145354182</v>
      </c>
      <c r="F8" s="34">
        <f>AVERAGE(E7:F7)/'Income Statement'!F10*360</f>
        <v>95.504666937213742</v>
      </c>
      <c r="G8" s="35">
        <f>F8</f>
        <v>95.504666937213742</v>
      </c>
      <c r="H8" s="35">
        <f t="shared" ref="H8:K8" si="0">G8</f>
        <v>95.504666937213742</v>
      </c>
      <c r="I8" s="35">
        <f t="shared" si="0"/>
        <v>95.504666937213742</v>
      </c>
      <c r="J8" s="35">
        <f t="shared" si="0"/>
        <v>95.504666937213742</v>
      </c>
      <c r="K8" s="35">
        <f t="shared" si="0"/>
        <v>95.504666937213742</v>
      </c>
    </row>
    <row r="9" spans="1:12" ht="12.75" customHeight="1">
      <c r="A9" s="11"/>
      <c r="B9" s="10" t="s">
        <v>161</v>
      </c>
      <c r="C9" s="10"/>
      <c r="D9" s="31">
        <f>'Balance Sheet'!D11</f>
        <v>3487</v>
      </c>
      <c r="E9" s="31">
        <f>'Balance Sheet'!E11</f>
        <v>3410</v>
      </c>
      <c r="F9" s="31">
        <f>'Balance Sheet'!F11</f>
        <v>3569</v>
      </c>
      <c r="G9" s="32">
        <f>G10/360*'Income Statement'!G7</f>
        <v>3568.0232039268185</v>
      </c>
      <c r="H9" s="32">
        <f>H10/360*'Income Statement'!H7</f>
        <v>3755.6187713818235</v>
      </c>
      <c r="I9" s="32">
        <f>I10/360*'Income Statement'!I7</f>
        <v>3943.3997099509147</v>
      </c>
      <c r="J9" s="32">
        <f>J10/360*'Income Statement'!J7</f>
        <v>4120.8526968987053</v>
      </c>
      <c r="K9" s="32">
        <f>K10/360*'Income Statement'!K7</f>
        <v>4285.6868047746539</v>
      </c>
    </row>
    <row r="10" spans="1:12" ht="12.75" customHeight="1">
      <c r="A10" s="11"/>
      <c r="B10" s="10"/>
      <c r="C10" s="33" t="s">
        <v>162</v>
      </c>
      <c r="D10" s="34"/>
      <c r="E10" s="34">
        <f>AVERAGE(D9:E9)/'Income Statement'!E7*360</f>
        <v>27.133365388818461</v>
      </c>
      <c r="F10" s="34">
        <f>AVERAGE(E9:F9)/'Income Statement'!F7*360</f>
        <v>26.693440428380189</v>
      </c>
      <c r="G10" s="35">
        <f>F10</f>
        <v>26.693440428380189</v>
      </c>
      <c r="H10" s="35">
        <f t="shared" ref="H10:K10" si="1">G10</f>
        <v>26.693440428380189</v>
      </c>
      <c r="I10" s="35">
        <f t="shared" si="1"/>
        <v>26.693440428380189</v>
      </c>
      <c r="J10" s="35">
        <f t="shared" si="1"/>
        <v>26.693440428380189</v>
      </c>
      <c r="K10" s="35">
        <f t="shared" si="1"/>
        <v>26.693440428380189</v>
      </c>
      <c r="L10" s="36"/>
    </row>
    <row r="11" spans="1:12" s="10" customFormat="1" ht="12.75" customHeight="1">
      <c r="A11" s="11"/>
      <c r="B11" s="10" t="s">
        <v>20</v>
      </c>
      <c r="D11" s="31">
        <f>'Balance Sheet'!D14</f>
        <v>3240</v>
      </c>
      <c r="E11" s="31">
        <f>'Balance Sheet'!E14</f>
        <v>5235</v>
      </c>
      <c r="F11" s="31">
        <f>'Balance Sheet'!F14</f>
        <v>3129</v>
      </c>
      <c r="G11" s="32">
        <f>G12/360*'Income Statement'!G19</f>
        <v>3837.8965405534041</v>
      </c>
      <c r="H11" s="32">
        <f>H12/360*'Income Statement'!H19</f>
        <v>3820.5982045344699</v>
      </c>
      <c r="I11" s="32">
        <f>I12/360*'Income Statement'!I19</f>
        <v>3952.3031707761311</v>
      </c>
      <c r="J11" s="32">
        <f>J12/360*'Income Statement'!J19</f>
        <v>4068.1622469966651</v>
      </c>
      <c r="K11" s="32">
        <f>K12/360*'Income Statement'!K19</f>
        <v>4230.8887368765318</v>
      </c>
    </row>
    <row r="12" spans="1:12" s="10" customFormat="1" ht="12.75" customHeight="1">
      <c r="A12" s="11"/>
      <c r="C12" s="33" t="s">
        <v>163</v>
      </c>
      <c r="D12" s="115"/>
      <c r="E12" s="115">
        <f>AVERAGE(D11:E11)/'Income Statement'!E19*360</f>
        <v>95.804810651259189</v>
      </c>
      <c r="F12" s="115">
        <f>AVERAGE(E11:F11)/'Income Statement'!F19*360</f>
        <v>80.315817551347024</v>
      </c>
      <c r="G12" s="116">
        <f>F12</f>
        <v>80.315817551347024</v>
      </c>
      <c r="H12" s="116">
        <f t="shared" ref="H12:K12" si="2">G12</f>
        <v>80.315817551347024</v>
      </c>
      <c r="I12" s="116">
        <f t="shared" si="2"/>
        <v>80.315817551347024</v>
      </c>
      <c r="J12" s="116">
        <f t="shared" si="2"/>
        <v>80.315817551347024</v>
      </c>
      <c r="K12" s="116">
        <f t="shared" si="2"/>
        <v>80.315817551347024</v>
      </c>
      <c r="L12" s="85"/>
    </row>
    <row r="13" spans="1:12" ht="12.75" customHeight="1">
      <c r="A13" s="11"/>
      <c r="B13" s="37" t="s">
        <v>21</v>
      </c>
      <c r="C13" s="38"/>
      <c r="D13" s="39">
        <f>D9+D7+D11</f>
        <v>10960</v>
      </c>
      <c r="E13" s="39">
        <f>E9+E7+E11</f>
        <v>13069</v>
      </c>
      <c r="F13" s="39">
        <f>F9+F7+F11</f>
        <v>11426</v>
      </c>
      <c r="G13" s="39">
        <f t="shared" ref="G13:K13" si="3">G9+G7+G11</f>
        <v>12404.036904022025</v>
      </c>
      <c r="H13" s="39">
        <f t="shared" si="3"/>
        <v>12702.749836522375</v>
      </c>
      <c r="I13" s="39">
        <f t="shared" si="3"/>
        <v>13208.01826006637</v>
      </c>
      <c r="J13" s="39">
        <f t="shared" si="3"/>
        <v>13740.384515304962</v>
      </c>
      <c r="K13" s="39">
        <f t="shared" si="3"/>
        <v>14289.999895917163</v>
      </c>
    </row>
    <row r="14" spans="1:12" ht="21" customHeight="1">
      <c r="A14" s="11" t="s">
        <v>164</v>
      </c>
      <c r="B14" s="40"/>
      <c r="C14" s="40"/>
      <c r="D14" s="41"/>
      <c r="E14" s="41"/>
      <c r="F14" s="41"/>
      <c r="G14" s="41"/>
      <c r="H14" s="41"/>
      <c r="I14" s="41"/>
      <c r="J14" s="41"/>
      <c r="K14" s="41"/>
    </row>
    <row r="15" spans="1:12" ht="12.75" customHeight="1">
      <c r="A15" s="11"/>
      <c r="B15" s="42" t="s">
        <v>31</v>
      </c>
      <c r="C15" s="42"/>
      <c r="D15" s="43">
        <f>'Balance Sheet'!D25</f>
        <v>15749</v>
      </c>
      <c r="E15" s="43">
        <f>'Balance Sheet'!E25</f>
        <v>15485</v>
      </c>
      <c r="F15" s="43">
        <f>'Balance Sheet'!F25</f>
        <v>21715</v>
      </c>
      <c r="G15" s="32">
        <f>G16/360*('Income Statement'!G10+'Income Statement'!G19)</f>
        <v>16895.691990843687</v>
      </c>
      <c r="H15" s="32">
        <f>H16/360*('Income Statement'!H10+'Income Statement'!H19)</f>
        <v>17086.25551152293</v>
      </c>
      <c r="I15" s="32">
        <f>I16/360*('Income Statement'!I10+'Income Statement'!I19)</f>
        <v>17691.265840003176</v>
      </c>
      <c r="J15" s="32">
        <f>J16/360*('Income Statement'!J10+'Income Statement'!J19)</f>
        <v>18357.112274195708</v>
      </c>
      <c r="K15" s="32">
        <f>K16/360*('Income Statement'!K10+'Income Statement'!K19)</f>
        <v>19091.396765163536</v>
      </c>
    </row>
    <row r="16" spans="1:12" ht="12.75" customHeight="1">
      <c r="A16" s="11"/>
      <c r="B16" s="10"/>
      <c r="C16" s="33" t="s">
        <v>165</v>
      </c>
      <c r="D16" s="34"/>
      <c r="E16" s="34">
        <f>(AVERAGE(D15:E15)/('Income Statement'!E10+'Income Statement'!E19))*360</f>
        <v>168.75641602881586</v>
      </c>
      <c r="F16" s="34">
        <f>(AVERAGE(E15:F15)/('Income Statement'!F10+'Income Statement'!F19))*360</f>
        <v>186.03100516752789</v>
      </c>
      <c r="G16" s="35">
        <f>E16</f>
        <v>168.75641602881586</v>
      </c>
      <c r="H16" s="35">
        <f>G16</f>
        <v>168.75641602881586</v>
      </c>
      <c r="I16" s="35">
        <f t="shared" ref="I16:K16" si="4">H16</f>
        <v>168.75641602881586</v>
      </c>
      <c r="J16" s="35">
        <f t="shared" si="4"/>
        <v>168.75641602881586</v>
      </c>
      <c r="K16" s="35">
        <f t="shared" si="4"/>
        <v>168.75641602881586</v>
      </c>
      <c r="L16" s="36"/>
    </row>
    <row r="17" spans="1:12" ht="12.75" customHeight="1">
      <c r="A17" s="11"/>
      <c r="B17" s="42" t="s">
        <v>35</v>
      </c>
      <c r="C17" s="42"/>
      <c r="D17" s="43">
        <f>'Balance Sheet'!D29</f>
        <v>1203</v>
      </c>
      <c r="E17" s="43">
        <f>'Balance Sheet'!E29</f>
        <v>1569</v>
      </c>
      <c r="F17" s="43">
        <f>'Balance Sheet'!F29</f>
        <v>1387</v>
      </c>
      <c r="G17" s="34">
        <f ca="1">G18/360*'Income Statement'!G33</f>
        <v>1390.3792399767672</v>
      </c>
      <c r="H17" s="34">
        <f ca="1">H18/360*'Income Statement'!H33</f>
        <v>1581.6912339531991</v>
      </c>
      <c r="I17" s="34">
        <f ca="1">I18/360*'Income Statement'!I33</f>
        <v>1649.0527063881339</v>
      </c>
      <c r="J17" s="34">
        <f ca="1">J18/360*'Income Statement'!J33</f>
        <v>1808.1684992120347</v>
      </c>
      <c r="K17" s="34">
        <f ca="1">K18/360*'Income Statement'!K33</f>
        <v>1911.3546474656291</v>
      </c>
      <c r="L17" s="36"/>
    </row>
    <row r="18" spans="1:12" ht="12.75" customHeight="1">
      <c r="A18" s="11"/>
      <c r="B18" s="10"/>
      <c r="C18" s="33" t="s">
        <v>165</v>
      </c>
      <c r="D18" s="34"/>
      <c r="E18" s="34">
        <f>(AVERAGE(D17:E17)/('Income Statement'!E33))*360</f>
        <v>221.85860382392175</v>
      </c>
      <c r="F18" s="34">
        <f>(AVERAGE(E17:F17)/('Income Statement'!F33))*360</f>
        <v>218.33401723430447</v>
      </c>
      <c r="G18" s="35">
        <f>F18</f>
        <v>218.33401723430447</v>
      </c>
      <c r="H18" s="35">
        <f t="shared" ref="H18:K18" si="5">G18</f>
        <v>218.33401723430447</v>
      </c>
      <c r="I18" s="35">
        <f t="shared" si="5"/>
        <v>218.33401723430447</v>
      </c>
      <c r="J18" s="35">
        <f t="shared" si="5"/>
        <v>218.33401723430447</v>
      </c>
      <c r="K18" s="35">
        <f t="shared" si="5"/>
        <v>218.33401723430447</v>
      </c>
      <c r="L18" s="36"/>
    </row>
    <row r="19" spans="1:12" ht="12.75" customHeight="1">
      <c r="A19" s="11"/>
      <c r="B19" s="10" t="s">
        <v>38</v>
      </c>
      <c r="C19" s="33"/>
      <c r="D19" s="43">
        <f>'Balance Sheet'!D32</f>
        <v>7922</v>
      </c>
      <c r="E19" s="43">
        <f>'Balance Sheet'!E32</f>
        <v>8466</v>
      </c>
      <c r="F19" s="43">
        <f>'Balance Sheet'!F32</f>
        <v>4084</v>
      </c>
      <c r="G19" s="34">
        <f>AVERAGE(D19:E19)</f>
        <v>8194</v>
      </c>
      <c r="H19" s="34">
        <f>G19</f>
        <v>8194</v>
      </c>
      <c r="I19" s="34">
        <f t="shared" ref="I19:K19" si="6">H19</f>
        <v>8194</v>
      </c>
      <c r="J19" s="34">
        <f t="shared" si="6"/>
        <v>8194</v>
      </c>
      <c r="K19" s="34">
        <f t="shared" si="6"/>
        <v>8194</v>
      </c>
      <c r="L19" s="36"/>
    </row>
    <row r="20" spans="1:12" ht="12.75" customHeight="1">
      <c r="A20" s="10"/>
      <c r="B20" s="37" t="s">
        <v>36</v>
      </c>
      <c r="C20" s="42"/>
      <c r="D20" s="44">
        <f t="shared" ref="D20:K20" si="7">D15+D17+D19</f>
        <v>24874</v>
      </c>
      <c r="E20" s="44">
        <f t="shared" si="7"/>
        <v>25520</v>
      </c>
      <c r="F20" s="44">
        <f t="shared" si="7"/>
        <v>27186</v>
      </c>
      <c r="G20" s="44">
        <f t="shared" ca="1" si="7"/>
        <v>26480.071230820453</v>
      </c>
      <c r="H20" s="44">
        <f t="shared" ca="1" si="7"/>
        <v>26861.946745476129</v>
      </c>
      <c r="I20" s="44">
        <f t="shared" ca="1" si="7"/>
        <v>27534.318546391311</v>
      </c>
      <c r="J20" s="44">
        <f t="shared" ca="1" si="7"/>
        <v>28359.280773407743</v>
      </c>
      <c r="K20" s="44">
        <f t="shared" ca="1" si="7"/>
        <v>29196.751412629164</v>
      </c>
    </row>
    <row r="21" spans="1:12" ht="21" customHeight="1">
      <c r="A21" s="10"/>
      <c r="B21" s="11" t="s">
        <v>166</v>
      </c>
      <c r="C21" s="40"/>
      <c r="D21" s="9">
        <f t="shared" ref="D21:K21" si="8">D13-D20</f>
        <v>-13914</v>
      </c>
      <c r="E21" s="9">
        <f t="shared" si="8"/>
        <v>-12451</v>
      </c>
      <c r="F21" s="9">
        <f t="shared" si="8"/>
        <v>-15760</v>
      </c>
      <c r="G21" s="9">
        <f t="shared" ca="1" si="8"/>
        <v>-14076.034326798428</v>
      </c>
      <c r="H21" s="9">
        <f t="shared" ca="1" si="8"/>
        <v>-14159.196908953754</v>
      </c>
      <c r="I21" s="9">
        <f t="shared" ca="1" si="8"/>
        <v>-14326.30028632494</v>
      </c>
      <c r="J21" s="9">
        <f t="shared" ca="1" si="8"/>
        <v>-14618.896258102781</v>
      </c>
      <c r="K21" s="9">
        <f t="shared" ca="1" si="8"/>
        <v>-14906.751516712002</v>
      </c>
    </row>
    <row r="22" spans="1:12" ht="12.75" customHeight="1">
      <c r="A22" s="10"/>
      <c r="B22" s="10" t="s">
        <v>167</v>
      </c>
      <c r="C22" s="45"/>
      <c r="D22" s="12"/>
      <c r="E22" s="12"/>
      <c r="F22" s="12"/>
      <c r="G22" s="12">
        <f ca="1">G21-F21</f>
        <v>1683.9656732015719</v>
      </c>
      <c r="H22" s="12">
        <f t="shared" ref="H22:K22" ca="1" si="9">H21-G21</f>
        <v>-83.162582155326163</v>
      </c>
      <c r="I22" s="12">
        <f t="shared" ca="1" si="9"/>
        <v>-167.10337737118607</v>
      </c>
      <c r="J22" s="12">
        <f t="shared" ca="1" si="9"/>
        <v>-292.59597177784053</v>
      </c>
      <c r="K22" s="12">
        <f t="shared" ca="1" si="9"/>
        <v>-287.85525860922098</v>
      </c>
    </row>
    <row r="23" spans="1:12" ht="12.75" customHeight="1">
      <c r="A23" s="21"/>
      <c r="B23" s="22" t="s">
        <v>168</v>
      </c>
      <c r="C23" s="21"/>
      <c r="D23" s="23"/>
      <c r="E23" s="23"/>
      <c r="F23" s="23"/>
      <c r="G23" s="23"/>
      <c r="H23" s="23"/>
      <c r="I23" s="23"/>
      <c r="J23" s="23"/>
      <c r="K23" s="23"/>
    </row>
    <row r="24" spans="1:12" ht="12">
      <c r="A24" s="46"/>
      <c r="B24" s="47"/>
      <c r="C24" s="47"/>
      <c r="D24" s="48"/>
      <c r="E24" s="48"/>
      <c r="F24" s="48"/>
      <c r="G24" s="48"/>
      <c r="H24" s="48"/>
      <c r="I24" s="48"/>
      <c r="J24" s="48"/>
      <c r="K24" s="48"/>
    </row>
    <row r="25" spans="1:12" ht="12">
      <c r="A25" s="46"/>
      <c r="B25" s="47"/>
      <c r="C25" s="47"/>
      <c r="D25" s="49"/>
      <c r="E25" s="48"/>
      <c r="F25" s="48"/>
      <c r="G25" s="48"/>
      <c r="H25" s="48"/>
      <c r="I25" s="48"/>
      <c r="J25" s="48"/>
      <c r="K25" s="48"/>
    </row>
    <row r="26" spans="1:12" ht="12">
      <c r="A26" s="46"/>
      <c r="B26" s="47"/>
      <c r="C26" s="47"/>
      <c r="D26" s="48"/>
      <c r="E26" s="48"/>
      <c r="F26" s="48"/>
      <c r="G26" s="48"/>
      <c r="H26" s="48"/>
      <c r="I26" s="48"/>
      <c r="J26" s="48"/>
      <c r="K26" s="48"/>
    </row>
    <row r="27" spans="1:12" ht="12">
      <c r="A27" s="46"/>
      <c r="B27" s="47"/>
      <c r="C27" s="47"/>
      <c r="D27" s="50"/>
      <c r="E27" s="50"/>
      <c r="F27" s="50"/>
      <c r="G27" s="50"/>
      <c r="H27" s="50"/>
      <c r="I27" s="50"/>
      <c r="J27" s="50"/>
      <c r="K27" s="50"/>
    </row>
    <row r="28" spans="1:12" ht="12">
      <c r="A28" s="46"/>
      <c r="B28" s="46"/>
      <c r="C28" s="46"/>
      <c r="D28" s="51"/>
      <c r="E28" s="51"/>
      <c r="F28" s="51"/>
      <c r="G28" s="51"/>
      <c r="H28" s="51"/>
      <c r="I28" s="51"/>
      <c r="J28" s="51"/>
      <c r="K28" s="51"/>
    </row>
    <row r="29" spans="1:12" ht="21" customHeight="1">
      <c r="B29" s="46"/>
      <c r="C29" s="46"/>
      <c r="D29" s="52"/>
      <c r="E29" s="52"/>
      <c r="F29" s="52"/>
      <c r="G29" s="53"/>
      <c r="H29" s="53"/>
      <c r="I29" s="53"/>
      <c r="J29" s="53"/>
      <c r="K29" s="53"/>
    </row>
    <row r="30" spans="1:12" ht="12">
      <c r="A30" s="46"/>
      <c r="B30" s="46"/>
      <c r="C30" s="46"/>
      <c r="D30" s="54"/>
      <c r="E30" s="54"/>
      <c r="F30" s="54"/>
      <c r="G30" s="54"/>
      <c r="H30" s="54"/>
      <c r="I30" s="54"/>
      <c r="J30" s="54"/>
      <c r="K30" s="54"/>
    </row>
    <row r="31" spans="1:12" ht="12">
      <c r="A31" s="46"/>
      <c r="B31" s="47"/>
      <c r="C31" s="47"/>
      <c r="D31" s="55"/>
      <c r="E31" s="55"/>
      <c r="F31" s="55"/>
      <c r="G31" s="55"/>
      <c r="H31" s="55"/>
      <c r="I31" s="55"/>
      <c r="J31" s="55"/>
      <c r="K31" s="55"/>
    </row>
    <row r="32" spans="1:12" ht="12">
      <c r="B32" s="47"/>
      <c r="C32" s="47"/>
      <c r="D32" s="55"/>
      <c r="E32" s="55"/>
      <c r="F32" s="55"/>
      <c r="G32" s="55"/>
      <c r="H32" s="55"/>
      <c r="I32" s="55"/>
      <c r="J32" s="55"/>
      <c r="K32" s="55"/>
    </row>
    <row r="33" spans="1:11" ht="12">
      <c r="A33" s="46"/>
      <c r="B33" s="47"/>
      <c r="C33" s="47"/>
      <c r="D33" s="49"/>
      <c r="E33" s="48"/>
      <c r="F33" s="48"/>
      <c r="G33" s="48"/>
      <c r="H33" s="48"/>
      <c r="I33" s="48"/>
      <c r="J33" s="48"/>
      <c r="K33" s="48"/>
    </row>
    <row r="34" spans="1:11" ht="12">
      <c r="A34" s="46"/>
      <c r="B34" s="47"/>
      <c r="C34" s="47"/>
      <c r="D34" s="49"/>
      <c r="E34" s="48"/>
      <c r="F34" s="48"/>
      <c r="G34" s="48"/>
      <c r="H34" s="48"/>
      <c r="I34" s="48"/>
      <c r="J34" s="48"/>
      <c r="K34" s="48"/>
    </row>
    <row r="35" spans="1:11" ht="12">
      <c r="B35" s="47"/>
      <c r="C35" s="47"/>
      <c r="D35" s="49"/>
      <c r="E35" s="48"/>
      <c r="F35" s="48"/>
      <c r="G35" s="48"/>
      <c r="H35" s="48"/>
      <c r="I35" s="48"/>
      <c r="J35" s="48"/>
      <c r="K35" s="48"/>
    </row>
    <row r="36" spans="1:11" ht="12">
      <c r="B36" s="47"/>
      <c r="C36" s="47"/>
      <c r="D36" s="49"/>
      <c r="E36" s="48"/>
      <c r="F36" s="48"/>
      <c r="G36" s="48"/>
      <c r="H36" s="48"/>
      <c r="I36" s="48"/>
      <c r="J36" s="48"/>
      <c r="K36" s="48"/>
    </row>
    <row r="37" spans="1:11" ht="12">
      <c r="B37" s="47"/>
      <c r="C37" s="47"/>
      <c r="D37" s="56"/>
      <c r="E37" s="56"/>
      <c r="F37" s="56"/>
      <c r="G37" s="56"/>
      <c r="H37" s="56"/>
      <c r="I37" s="48"/>
      <c r="J37" s="48"/>
      <c r="K37" s="48"/>
    </row>
    <row r="38" spans="1:11" ht="12">
      <c r="A38" s="46"/>
      <c r="B38" s="47"/>
      <c r="C38" s="47"/>
      <c r="D38" s="48"/>
      <c r="E38" s="48"/>
      <c r="F38" s="48"/>
      <c r="G38" s="48"/>
      <c r="H38" s="48"/>
      <c r="I38" s="48"/>
      <c r="J38" s="48"/>
      <c r="K38" s="48"/>
    </row>
    <row r="39" spans="1:11" ht="12">
      <c r="B39" s="47"/>
      <c r="C39" s="47"/>
      <c r="D39" s="49"/>
      <c r="E39" s="48"/>
      <c r="F39" s="48"/>
      <c r="G39" s="48"/>
      <c r="H39" s="48"/>
      <c r="I39" s="48"/>
      <c r="J39" s="48"/>
      <c r="K39" s="48"/>
    </row>
    <row r="40" spans="1:11" ht="12">
      <c r="B40" s="47"/>
      <c r="C40" s="47"/>
      <c r="D40" s="48"/>
      <c r="E40" s="48"/>
      <c r="F40" s="48"/>
      <c r="G40" s="48"/>
      <c r="H40" s="48"/>
      <c r="I40" s="48"/>
      <c r="J40" s="48"/>
      <c r="K40" s="48"/>
    </row>
    <row r="41" spans="1:11" ht="12">
      <c r="B41" s="47"/>
      <c r="C41" s="47"/>
      <c r="D41" s="50"/>
      <c r="E41" s="50"/>
      <c r="F41" s="50"/>
      <c r="G41" s="50"/>
      <c r="H41" s="50"/>
      <c r="I41" s="50"/>
      <c r="J41" s="50"/>
      <c r="K41" s="50"/>
    </row>
    <row r="42" spans="1:11" ht="12">
      <c r="A42" s="46"/>
      <c r="B42" s="46"/>
      <c r="C42" s="46"/>
      <c r="D42" s="51"/>
      <c r="E42" s="51"/>
      <c r="F42" s="51"/>
      <c r="G42" s="51"/>
      <c r="H42" s="51"/>
      <c r="I42" s="51"/>
      <c r="J42" s="51"/>
      <c r="K42" s="51"/>
    </row>
    <row r="43" spans="1:11" ht="21" customHeight="1">
      <c r="A43" s="46"/>
      <c r="D43" s="57"/>
      <c r="E43" s="57"/>
      <c r="F43" s="57"/>
      <c r="G43" s="57"/>
      <c r="H43" s="57"/>
      <c r="I43" s="57"/>
      <c r="J43" s="57"/>
      <c r="K43" s="57"/>
    </row>
    <row r="44" spans="1:11" ht="12">
      <c r="B44" s="36"/>
      <c r="C44" s="36"/>
      <c r="D44" s="58"/>
      <c r="E44" s="58"/>
      <c r="F44" s="58"/>
      <c r="G44" s="58"/>
      <c r="H44" s="58"/>
      <c r="I44" s="58"/>
      <c r="J44" s="58"/>
      <c r="K44" s="58"/>
    </row>
    <row r="45" spans="1:11" ht="12">
      <c r="B45" s="46"/>
      <c r="C45" s="46"/>
      <c r="D45" s="51"/>
      <c r="E45" s="51"/>
      <c r="F45" s="51"/>
      <c r="G45" s="51"/>
      <c r="H45" s="51"/>
      <c r="I45" s="51"/>
      <c r="J45" s="51"/>
      <c r="K45" s="51"/>
    </row>
    <row r="46" spans="1:11" ht="12">
      <c r="D46" s="59"/>
      <c r="E46" s="59"/>
      <c r="F46" s="59"/>
      <c r="G46" s="59"/>
      <c r="H46" s="59"/>
      <c r="I46" s="59"/>
      <c r="J46" s="59"/>
      <c r="K46" s="59"/>
    </row>
    <row r="47" spans="1:11" ht="12">
      <c r="D47" s="59"/>
      <c r="E47" s="59"/>
      <c r="F47" s="59"/>
      <c r="G47" s="59"/>
      <c r="H47" s="59"/>
      <c r="I47" s="59"/>
      <c r="J47" s="59"/>
      <c r="K47" s="59"/>
    </row>
    <row r="48" spans="1:11" ht="20" customHeight="1">
      <c r="A48" s="46"/>
      <c r="B48" s="46"/>
      <c r="C48" s="46"/>
      <c r="D48" s="51"/>
      <c r="E48" s="51"/>
      <c r="F48" s="51"/>
      <c r="G48" s="51"/>
      <c r="H48" s="51"/>
      <c r="I48" s="51"/>
      <c r="J48" s="51"/>
      <c r="K48" s="51"/>
    </row>
    <row r="49" spans="1:11" ht="21" customHeight="1">
      <c r="A49" s="46"/>
      <c r="B49" s="46"/>
      <c r="C49" s="46"/>
      <c r="D49" s="51"/>
      <c r="E49" s="51"/>
      <c r="F49" s="51"/>
      <c r="G49" s="51"/>
      <c r="H49" s="51"/>
      <c r="I49" s="51"/>
      <c r="J49" s="51"/>
      <c r="K49" s="51"/>
    </row>
    <row r="50" spans="1:11" ht="21" customHeight="1">
      <c r="A50" s="46"/>
      <c r="D50" s="60"/>
      <c r="E50" s="60"/>
      <c r="F50" s="60"/>
      <c r="G50" s="60"/>
      <c r="H50" s="60"/>
      <c r="I50" s="60"/>
      <c r="J50" s="60"/>
      <c r="K50" s="60"/>
    </row>
    <row r="51" spans="1:11" ht="20" customHeight="1">
      <c r="D51" s="61"/>
      <c r="E51" s="61"/>
      <c r="F51" s="61"/>
      <c r="G51" s="61"/>
      <c r="H51" s="61"/>
      <c r="I51" s="61"/>
      <c r="J51" s="61"/>
      <c r="K51" s="61"/>
    </row>
    <row r="52" spans="1:11" ht="20" customHeight="1">
      <c r="F52" s="62"/>
      <c r="G52" s="62"/>
      <c r="H52" s="62"/>
      <c r="I52" s="62"/>
      <c r="J52" s="62"/>
      <c r="K52" s="62"/>
    </row>
    <row r="53" spans="1:11" ht="20" customHeight="1">
      <c r="F53" s="62"/>
      <c r="G53" s="62"/>
      <c r="H53" s="62"/>
      <c r="I53" s="62"/>
      <c r="J53" s="62"/>
      <c r="K53" s="62"/>
    </row>
  </sheetData>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7035A-0E5D-4993-995F-92D37F01FC9A}">
  <dimension ref="A1:K20"/>
  <sheetViews>
    <sheetView workbookViewId="0">
      <selection activeCell="G16" sqref="G16"/>
    </sheetView>
  </sheetViews>
  <sheetFormatPr baseColWidth="10" defaultColWidth="11.33203125" defaultRowHeight="12"/>
  <cols>
    <col min="1" max="2" width="2.6640625" style="1" customWidth="1"/>
    <col min="3" max="3" width="54.6640625" style="1" customWidth="1"/>
    <col min="4" max="5" width="9.6640625" style="62" customWidth="1"/>
    <col min="6" max="11" width="9.6640625" style="1" customWidth="1"/>
    <col min="12" max="256" width="9.1640625" style="1" bestFit="1" customWidth="1"/>
    <col min="257" max="258" width="2.6640625" style="1" customWidth="1"/>
    <col min="259" max="259" width="54.6640625" style="1" customWidth="1"/>
    <col min="260" max="267" width="9.6640625" style="1" customWidth="1"/>
    <col min="268" max="512" width="9.1640625" style="1" bestFit="1" customWidth="1"/>
    <col min="513" max="514" width="2.6640625" style="1" customWidth="1"/>
    <col min="515" max="515" width="54.6640625" style="1" customWidth="1"/>
    <col min="516" max="523" width="9.6640625" style="1" customWidth="1"/>
    <col min="524" max="768" width="9.1640625" style="1" bestFit="1" customWidth="1"/>
    <col min="769" max="770" width="2.6640625" style="1" customWidth="1"/>
    <col min="771" max="771" width="54.6640625" style="1" customWidth="1"/>
    <col min="772" max="779" width="9.6640625" style="1" customWidth="1"/>
    <col min="780" max="1024" width="9.1640625" style="1" bestFit="1" customWidth="1"/>
    <col min="1025" max="1026" width="2.6640625" style="1" customWidth="1"/>
    <col min="1027" max="1027" width="54.6640625" style="1" customWidth="1"/>
    <col min="1028" max="1035" width="9.6640625" style="1" customWidth="1"/>
    <col min="1036" max="1280" width="9.1640625" style="1" bestFit="1" customWidth="1"/>
    <col min="1281" max="1282" width="2.6640625" style="1" customWidth="1"/>
    <col min="1283" max="1283" width="54.6640625" style="1" customWidth="1"/>
    <col min="1284" max="1291" width="9.6640625" style="1" customWidth="1"/>
    <col min="1292" max="1536" width="9.1640625" style="1" bestFit="1" customWidth="1"/>
    <col min="1537" max="1538" width="2.6640625" style="1" customWidth="1"/>
    <col min="1539" max="1539" width="54.6640625" style="1" customWidth="1"/>
    <col min="1540" max="1547" width="9.6640625" style="1" customWidth="1"/>
    <col min="1548" max="1792" width="9.1640625" style="1" bestFit="1" customWidth="1"/>
    <col min="1793" max="1794" width="2.6640625" style="1" customWidth="1"/>
    <col min="1795" max="1795" width="54.6640625" style="1" customWidth="1"/>
    <col min="1796" max="1803" width="9.6640625" style="1" customWidth="1"/>
    <col min="1804" max="2048" width="9.1640625" style="1" bestFit="1" customWidth="1"/>
    <col min="2049" max="2050" width="2.6640625" style="1" customWidth="1"/>
    <col min="2051" max="2051" width="54.6640625" style="1" customWidth="1"/>
    <col min="2052" max="2059" width="9.6640625" style="1" customWidth="1"/>
    <col min="2060" max="2304" width="9.1640625" style="1" bestFit="1" customWidth="1"/>
    <col min="2305" max="2306" width="2.6640625" style="1" customWidth="1"/>
    <col min="2307" max="2307" width="54.6640625" style="1" customWidth="1"/>
    <col min="2308" max="2315" width="9.6640625" style="1" customWidth="1"/>
    <col min="2316" max="2560" width="9.1640625" style="1" bestFit="1" customWidth="1"/>
    <col min="2561" max="2562" width="2.6640625" style="1" customWidth="1"/>
    <col min="2563" max="2563" width="54.6640625" style="1" customWidth="1"/>
    <col min="2564" max="2571" width="9.6640625" style="1" customWidth="1"/>
    <col min="2572" max="2816" width="9.1640625" style="1" bestFit="1" customWidth="1"/>
    <col min="2817" max="2818" width="2.6640625" style="1" customWidth="1"/>
    <col min="2819" max="2819" width="54.6640625" style="1" customWidth="1"/>
    <col min="2820" max="2827" width="9.6640625" style="1" customWidth="1"/>
    <col min="2828" max="3072" width="9.1640625" style="1" bestFit="1" customWidth="1"/>
    <col min="3073" max="3074" width="2.6640625" style="1" customWidth="1"/>
    <col min="3075" max="3075" width="54.6640625" style="1" customWidth="1"/>
    <col min="3076" max="3083" width="9.6640625" style="1" customWidth="1"/>
    <col min="3084" max="3328" width="9.1640625" style="1" bestFit="1" customWidth="1"/>
    <col min="3329" max="3330" width="2.6640625" style="1" customWidth="1"/>
    <col min="3331" max="3331" width="54.6640625" style="1" customWidth="1"/>
    <col min="3332" max="3339" width="9.6640625" style="1" customWidth="1"/>
    <col min="3340" max="3584" width="9.1640625" style="1" bestFit="1" customWidth="1"/>
    <col min="3585" max="3586" width="2.6640625" style="1" customWidth="1"/>
    <col min="3587" max="3587" width="54.6640625" style="1" customWidth="1"/>
    <col min="3588" max="3595" width="9.6640625" style="1" customWidth="1"/>
    <col min="3596" max="3840" width="9.1640625" style="1" bestFit="1" customWidth="1"/>
    <col min="3841" max="3842" width="2.6640625" style="1" customWidth="1"/>
    <col min="3843" max="3843" width="54.6640625" style="1" customWidth="1"/>
    <col min="3844" max="3851" width="9.6640625" style="1" customWidth="1"/>
    <col min="3852" max="4096" width="9.1640625" style="1" bestFit="1" customWidth="1"/>
    <col min="4097" max="4098" width="2.6640625" style="1" customWidth="1"/>
    <col min="4099" max="4099" width="54.6640625" style="1" customWidth="1"/>
    <col min="4100" max="4107" width="9.6640625" style="1" customWidth="1"/>
    <col min="4108" max="4352" width="9.1640625" style="1" bestFit="1" customWidth="1"/>
    <col min="4353" max="4354" width="2.6640625" style="1" customWidth="1"/>
    <col min="4355" max="4355" width="54.6640625" style="1" customWidth="1"/>
    <col min="4356" max="4363" width="9.6640625" style="1" customWidth="1"/>
    <col min="4364" max="4608" width="9.1640625" style="1" bestFit="1" customWidth="1"/>
    <col min="4609" max="4610" width="2.6640625" style="1" customWidth="1"/>
    <col min="4611" max="4611" width="54.6640625" style="1" customWidth="1"/>
    <col min="4612" max="4619" width="9.6640625" style="1" customWidth="1"/>
    <col min="4620" max="4864" width="9.1640625" style="1" bestFit="1" customWidth="1"/>
    <col min="4865" max="4866" width="2.6640625" style="1" customWidth="1"/>
    <col min="4867" max="4867" width="54.6640625" style="1" customWidth="1"/>
    <col min="4868" max="4875" width="9.6640625" style="1" customWidth="1"/>
    <col min="4876" max="5120" width="9.1640625" style="1" bestFit="1" customWidth="1"/>
    <col min="5121" max="5122" width="2.6640625" style="1" customWidth="1"/>
    <col min="5123" max="5123" width="54.6640625" style="1" customWidth="1"/>
    <col min="5124" max="5131" width="9.6640625" style="1" customWidth="1"/>
    <col min="5132" max="5376" width="9.1640625" style="1" bestFit="1" customWidth="1"/>
    <col min="5377" max="5378" width="2.6640625" style="1" customWidth="1"/>
    <col min="5379" max="5379" width="54.6640625" style="1" customWidth="1"/>
    <col min="5380" max="5387" width="9.6640625" style="1" customWidth="1"/>
    <col min="5388" max="5632" width="9.1640625" style="1" bestFit="1" customWidth="1"/>
    <col min="5633" max="5634" width="2.6640625" style="1" customWidth="1"/>
    <col min="5635" max="5635" width="54.6640625" style="1" customWidth="1"/>
    <col min="5636" max="5643" width="9.6640625" style="1" customWidth="1"/>
    <col min="5644" max="5888" width="9.1640625" style="1" bestFit="1" customWidth="1"/>
    <col min="5889" max="5890" width="2.6640625" style="1" customWidth="1"/>
    <col min="5891" max="5891" width="54.6640625" style="1" customWidth="1"/>
    <col min="5892" max="5899" width="9.6640625" style="1" customWidth="1"/>
    <col min="5900" max="6144" width="9.1640625" style="1" bestFit="1" customWidth="1"/>
    <col min="6145" max="6146" width="2.6640625" style="1" customWidth="1"/>
    <col min="6147" max="6147" width="54.6640625" style="1" customWidth="1"/>
    <col min="6148" max="6155" width="9.6640625" style="1" customWidth="1"/>
    <col min="6156" max="6400" width="9.1640625" style="1" bestFit="1" customWidth="1"/>
    <col min="6401" max="6402" width="2.6640625" style="1" customWidth="1"/>
    <col min="6403" max="6403" width="54.6640625" style="1" customWidth="1"/>
    <col min="6404" max="6411" width="9.6640625" style="1" customWidth="1"/>
    <col min="6412" max="6656" width="9.1640625" style="1" bestFit="1" customWidth="1"/>
    <col min="6657" max="6658" width="2.6640625" style="1" customWidth="1"/>
    <col min="6659" max="6659" width="54.6640625" style="1" customWidth="1"/>
    <col min="6660" max="6667" width="9.6640625" style="1" customWidth="1"/>
    <col min="6668" max="6912" width="9.1640625" style="1" bestFit="1" customWidth="1"/>
    <col min="6913" max="6914" width="2.6640625" style="1" customWidth="1"/>
    <col min="6915" max="6915" width="54.6640625" style="1" customWidth="1"/>
    <col min="6916" max="6923" width="9.6640625" style="1" customWidth="1"/>
    <col min="6924" max="7168" width="9.1640625" style="1" bestFit="1" customWidth="1"/>
    <col min="7169" max="7170" width="2.6640625" style="1" customWidth="1"/>
    <col min="7171" max="7171" width="54.6640625" style="1" customWidth="1"/>
    <col min="7172" max="7179" width="9.6640625" style="1" customWidth="1"/>
    <col min="7180" max="7424" width="9.1640625" style="1" bestFit="1" customWidth="1"/>
    <col min="7425" max="7426" width="2.6640625" style="1" customWidth="1"/>
    <col min="7427" max="7427" width="54.6640625" style="1" customWidth="1"/>
    <col min="7428" max="7435" width="9.6640625" style="1" customWidth="1"/>
    <col min="7436" max="7680" width="9.1640625" style="1" bestFit="1" customWidth="1"/>
    <col min="7681" max="7682" width="2.6640625" style="1" customWidth="1"/>
    <col min="7683" max="7683" width="54.6640625" style="1" customWidth="1"/>
    <col min="7684" max="7691" width="9.6640625" style="1" customWidth="1"/>
    <col min="7692" max="7936" width="9.1640625" style="1" bestFit="1" customWidth="1"/>
    <col min="7937" max="7938" width="2.6640625" style="1" customWidth="1"/>
    <col min="7939" max="7939" width="54.6640625" style="1" customWidth="1"/>
    <col min="7940" max="7947" width="9.6640625" style="1" customWidth="1"/>
    <col min="7948" max="8192" width="9.1640625" style="1" bestFit="1" customWidth="1"/>
    <col min="8193" max="8194" width="2.6640625" style="1" customWidth="1"/>
    <col min="8195" max="8195" width="54.6640625" style="1" customWidth="1"/>
    <col min="8196" max="8203" width="9.6640625" style="1" customWidth="1"/>
    <col min="8204" max="8448" width="9.1640625" style="1" bestFit="1" customWidth="1"/>
    <col min="8449" max="8450" width="2.6640625" style="1" customWidth="1"/>
    <col min="8451" max="8451" width="54.6640625" style="1" customWidth="1"/>
    <col min="8452" max="8459" width="9.6640625" style="1" customWidth="1"/>
    <col min="8460" max="8704" width="9.1640625" style="1" bestFit="1" customWidth="1"/>
    <col min="8705" max="8706" width="2.6640625" style="1" customWidth="1"/>
    <col min="8707" max="8707" width="54.6640625" style="1" customWidth="1"/>
    <col min="8708" max="8715" width="9.6640625" style="1" customWidth="1"/>
    <col min="8716" max="8960" width="9.1640625" style="1" bestFit="1" customWidth="1"/>
    <col min="8961" max="8962" width="2.6640625" style="1" customWidth="1"/>
    <col min="8963" max="8963" width="54.6640625" style="1" customWidth="1"/>
    <col min="8964" max="8971" width="9.6640625" style="1" customWidth="1"/>
    <col min="8972" max="9216" width="9.1640625" style="1" bestFit="1" customWidth="1"/>
    <col min="9217" max="9218" width="2.6640625" style="1" customWidth="1"/>
    <col min="9219" max="9219" width="54.6640625" style="1" customWidth="1"/>
    <col min="9220" max="9227" width="9.6640625" style="1" customWidth="1"/>
    <col min="9228" max="9472" width="9.1640625" style="1" bestFit="1" customWidth="1"/>
    <col min="9473" max="9474" width="2.6640625" style="1" customWidth="1"/>
    <col min="9475" max="9475" width="54.6640625" style="1" customWidth="1"/>
    <col min="9476" max="9483" width="9.6640625" style="1" customWidth="1"/>
    <col min="9484" max="9728" width="9.1640625" style="1" bestFit="1" customWidth="1"/>
    <col min="9729" max="9730" width="2.6640625" style="1" customWidth="1"/>
    <col min="9731" max="9731" width="54.6640625" style="1" customWidth="1"/>
    <col min="9732" max="9739" width="9.6640625" style="1" customWidth="1"/>
    <col min="9740" max="9984" width="9.1640625" style="1" bestFit="1" customWidth="1"/>
    <col min="9985" max="9986" width="2.6640625" style="1" customWidth="1"/>
    <col min="9987" max="9987" width="54.6640625" style="1" customWidth="1"/>
    <col min="9988" max="9995" width="9.6640625" style="1" customWidth="1"/>
    <col min="9996" max="10240" width="9.1640625" style="1" bestFit="1" customWidth="1"/>
    <col min="10241" max="10242" width="2.6640625" style="1" customWidth="1"/>
    <col min="10243" max="10243" width="54.6640625" style="1" customWidth="1"/>
    <col min="10244" max="10251" width="9.6640625" style="1" customWidth="1"/>
    <col min="10252" max="10496" width="9.1640625" style="1" bestFit="1" customWidth="1"/>
    <col min="10497" max="10498" width="2.6640625" style="1" customWidth="1"/>
    <col min="10499" max="10499" width="54.6640625" style="1" customWidth="1"/>
    <col min="10500" max="10507" width="9.6640625" style="1" customWidth="1"/>
    <col min="10508" max="10752" width="9.1640625" style="1" bestFit="1" customWidth="1"/>
    <col min="10753" max="10754" width="2.6640625" style="1" customWidth="1"/>
    <col min="10755" max="10755" width="54.6640625" style="1" customWidth="1"/>
    <col min="10756" max="10763" width="9.6640625" style="1" customWidth="1"/>
    <col min="10764" max="11008" width="9.1640625" style="1" bestFit="1" customWidth="1"/>
    <col min="11009" max="11010" width="2.6640625" style="1" customWidth="1"/>
    <col min="11011" max="11011" width="54.6640625" style="1" customWidth="1"/>
    <col min="11012" max="11019" width="9.6640625" style="1" customWidth="1"/>
    <col min="11020" max="11264" width="9.1640625" style="1" bestFit="1" customWidth="1"/>
    <col min="11265" max="11266" width="2.6640625" style="1" customWidth="1"/>
    <col min="11267" max="11267" width="54.6640625" style="1" customWidth="1"/>
    <col min="11268" max="11275" width="9.6640625" style="1" customWidth="1"/>
    <col min="11276" max="11520" width="9.1640625" style="1" bestFit="1" customWidth="1"/>
    <col min="11521" max="11522" width="2.6640625" style="1" customWidth="1"/>
    <col min="11523" max="11523" width="54.6640625" style="1" customWidth="1"/>
    <col min="11524" max="11531" width="9.6640625" style="1" customWidth="1"/>
    <col min="11532" max="11776" width="9.1640625" style="1" bestFit="1" customWidth="1"/>
    <col min="11777" max="11778" width="2.6640625" style="1" customWidth="1"/>
    <col min="11779" max="11779" width="54.6640625" style="1" customWidth="1"/>
    <col min="11780" max="11787" width="9.6640625" style="1" customWidth="1"/>
    <col min="11788" max="12032" width="9.1640625" style="1" bestFit="1" customWidth="1"/>
    <col min="12033" max="12034" width="2.6640625" style="1" customWidth="1"/>
    <col min="12035" max="12035" width="54.6640625" style="1" customWidth="1"/>
    <col min="12036" max="12043" width="9.6640625" style="1" customWidth="1"/>
    <col min="12044" max="12288" width="9.1640625" style="1" bestFit="1" customWidth="1"/>
    <col min="12289" max="12290" width="2.6640625" style="1" customWidth="1"/>
    <col min="12291" max="12291" width="54.6640625" style="1" customWidth="1"/>
    <col min="12292" max="12299" width="9.6640625" style="1" customWidth="1"/>
    <col min="12300" max="12544" width="9.1640625" style="1" bestFit="1" customWidth="1"/>
    <col min="12545" max="12546" width="2.6640625" style="1" customWidth="1"/>
    <col min="12547" max="12547" width="54.6640625" style="1" customWidth="1"/>
    <col min="12548" max="12555" width="9.6640625" style="1" customWidth="1"/>
    <col min="12556" max="12800" width="9.1640625" style="1" bestFit="1" customWidth="1"/>
    <col min="12801" max="12802" width="2.6640625" style="1" customWidth="1"/>
    <col min="12803" max="12803" width="54.6640625" style="1" customWidth="1"/>
    <col min="12804" max="12811" width="9.6640625" style="1" customWidth="1"/>
    <col min="12812" max="13056" width="9.1640625" style="1" bestFit="1" customWidth="1"/>
    <col min="13057" max="13058" width="2.6640625" style="1" customWidth="1"/>
    <col min="13059" max="13059" width="54.6640625" style="1" customWidth="1"/>
    <col min="13060" max="13067" width="9.6640625" style="1" customWidth="1"/>
    <col min="13068" max="13312" width="9.1640625" style="1" bestFit="1" customWidth="1"/>
    <col min="13313" max="13314" width="2.6640625" style="1" customWidth="1"/>
    <col min="13315" max="13315" width="54.6640625" style="1" customWidth="1"/>
    <col min="13316" max="13323" width="9.6640625" style="1" customWidth="1"/>
    <col min="13324" max="13568" width="9.1640625" style="1" bestFit="1" customWidth="1"/>
    <col min="13569" max="13570" width="2.6640625" style="1" customWidth="1"/>
    <col min="13571" max="13571" width="54.6640625" style="1" customWidth="1"/>
    <col min="13572" max="13579" width="9.6640625" style="1" customWidth="1"/>
    <col min="13580" max="13824" width="9.1640625" style="1" bestFit="1" customWidth="1"/>
    <col min="13825" max="13826" width="2.6640625" style="1" customWidth="1"/>
    <col min="13827" max="13827" width="54.6640625" style="1" customWidth="1"/>
    <col min="13828" max="13835" width="9.6640625" style="1" customWidth="1"/>
    <col min="13836" max="14080" width="9.1640625" style="1" bestFit="1" customWidth="1"/>
    <col min="14081" max="14082" width="2.6640625" style="1" customWidth="1"/>
    <col min="14083" max="14083" width="54.6640625" style="1" customWidth="1"/>
    <col min="14084" max="14091" width="9.6640625" style="1" customWidth="1"/>
    <col min="14092" max="14336" width="9.1640625" style="1" bestFit="1" customWidth="1"/>
    <col min="14337" max="14338" width="2.6640625" style="1" customWidth="1"/>
    <col min="14339" max="14339" width="54.6640625" style="1" customWidth="1"/>
    <col min="14340" max="14347" width="9.6640625" style="1" customWidth="1"/>
    <col min="14348" max="14592" width="9.1640625" style="1" bestFit="1" customWidth="1"/>
    <col min="14593" max="14594" width="2.6640625" style="1" customWidth="1"/>
    <col min="14595" max="14595" width="54.6640625" style="1" customWidth="1"/>
    <col min="14596" max="14603" width="9.6640625" style="1" customWidth="1"/>
    <col min="14604" max="14848" width="9.1640625" style="1" bestFit="1" customWidth="1"/>
    <col min="14849" max="14850" width="2.6640625" style="1" customWidth="1"/>
    <col min="14851" max="14851" width="54.6640625" style="1" customWidth="1"/>
    <col min="14852" max="14859" width="9.6640625" style="1" customWidth="1"/>
    <col min="14860" max="15104" width="9.1640625" style="1" bestFit="1" customWidth="1"/>
    <col min="15105" max="15106" width="2.6640625" style="1" customWidth="1"/>
    <col min="15107" max="15107" width="54.6640625" style="1" customWidth="1"/>
    <col min="15108" max="15115" width="9.6640625" style="1" customWidth="1"/>
    <col min="15116" max="15360" width="9.1640625" style="1" bestFit="1" customWidth="1"/>
    <col min="15361" max="15362" width="2.6640625" style="1" customWidth="1"/>
    <col min="15363" max="15363" width="54.6640625" style="1" customWidth="1"/>
    <col min="15364" max="15371" width="9.6640625" style="1" customWidth="1"/>
    <col min="15372" max="15616" width="9.1640625" style="1" bestFit="1" customWidth="1"/>
    <col min="15617" max="15618" width="2.6640625" style="1" customWidth="1"/>
    <col min="15619" max="15619" width="54.6640625" style="1" customWidth="1"/>
    <col min="15620" max="15627" width="9.6640625" style="1" customWidth="1"/>
    <col min="15628" max="15872" width="9.1640625" style="1" bestFit="1" customWidth="1"/>
    <col min="15873" max="15874" width="2.6640625" style="1" customWidth="1"/>
    <col min="15875" max="15875" width="54.6640625" style="1" customWidth="1"/>
    <col min="15876" max="15883" width="9.6640625" style="1" customWidth="1"/>
    <col min="15884" max="16128" width="9.1640625" style="1" bestFit="1" customWidth="1"/>
    <col min="16129" max="16130" width="2.6640625" style="1" customWidth="1"/>
    <col min="16131" max="16131" width="54.6640625" style="1" customWidth="1"/>
    <col min="16132" max="16139" width="9.6640625" style="1" customWidth="1"/>
    <col min="16140" max="16384" width="10.83203125" style="1"/>
  </cols>
  <sheetData>
    <row r="1" spans="1:11">
      <c r="A1" s="25"/>
      <c r="B1" s="25"/>
      <c r="C1" s="25"/>
      <c r="D1" s="26"/>
      <c r="E1" s="26"/>
      <c r="F1" s="25"/>
      <c r="G1" s="25"/>
      <c r="H1" s="25"/>
      <c r="I1" s="25"/>
      <c r="J1" s="25"/>
      <c r="K1" s="25"/>
    </row>
    <row r="2" spans="1:11">
      <c r="A2" s="2" t="s">
        <v>169</v>
      </c>
      <c r="B2" s="2"/>
      <c r="C2" s="2"/>
      <c r="D2" s="4"/>
      <c r="E2" s="4"/>
      <c r="F2" s="2"/>
      <c r="G2" s="2"/>
      <c r="H2" s="2"/>
      <c r="I2" s="2"/>
      <c r="J2" s="2"/>
      <c r="K2" s="2"/>
    </row>
    <row r="3" spans="1:11">
      <c r="A3" s="5" t="e">
        <v>#REF!</v>
      </c>
      <c r="B3" s="5"/>
      <c r="C3" s="5"/>
      <c r="D3" s="107" t="s">
        <v>52</v>
      </c>
      <c r="E3" s="107"/>
      <c r="F3" s="28"/>
      <c r="G3" s="29" t="s">
        <v>2</v>
      </c>
      <c r="H3" s="108"/>
      <c r="I3" s="109"/>
      <c r="J3" s="109"/>
      <c r="K3" s="109"/>
    </row>
    <row r="4" spans="1:11">
      <c r="A4" s="5"/>
      <c r="B4" s="5"/>
      <c r="C4" s="5"/>
      <c r="D4" s="6"/>
      <c r="E4" s="6"/>
      <c r="F4" s="7"/>
      <c r="G4" s="7"/>
      <c r="H4" s="7"/>
      <c r="I4" s="7"/>
      <c r="J4" s="7"/>
      <c r="K4" s="7"/>
    </row>
    <row r="5" spans="1:11" ht="13">
      <c r="A5" s="110" t="s">
        <v>53</v>
      </c>
      <c r="B5" s="111"/>
      <c r="C5" s="367"/>
      <c r="D5" s="113" t="s">
        <v>4</v>
      </c>
      <c r="E5" s="113" t="s">
        <v>5</v>
      </c>
      <c r="F5" s="113" t="s">
        <v>6</v>
      </c>
      <c r="G5" s="114" t="s">
        <v>7</v>
      </c>
      <c r="H5" s="114" t="s">
        <v>8</v>
      </c>
      <c r="I5" s="114" t="s">
        <v>9</v>
      </c>
      <c r="J5" s="114" t="s">
        <v>10</v>
      </c>
      <c r="K5" s="114" t="s">
        <v>11</v>
      </c>
    </row>
    <row r="6" spans="1:11">
      <c r="A6" s="11"/>
      <c r="B6" s="11" t="str">
        <f>"Property, plant &amp; equipment on Jan 1 "&amp;G5</f>
        <v>Property, plant &amp; equipment on Jan 1 2025E</v>
      </c>
      <c r="C6" s="30"/>
      <c r="D6" s="30"/>
      <c r="E6" s="123"/>
      <c r="F6" s="123"/>
      <c r="G6" s="124">
        <f>'Balance Sheet'!F16</f>
        <v>10303</v>
      </c>
      <c r="H6" s="123"/>
      <c r="I6" s="123"/>
      <c r="J6" s="123"/>
      <c r="K6" s="125"/>
    </row>
    <row r="7" spans="1:11">
      <c r="A7" s="11"/>
      <c r="B7" s="11" t="s">
        <v>170</v>
      </c>
      <c r="C7" s="11"/>
      <c r="D7" s="30"/>
      <c r="E7" s="30"/>
      <c r="F7" s="30"/>
      <c r="G7" s="30">
        <f>-'Cash Flow'!G31</f>
        <v>2021.4254835213869</v>
      </c>
      <c r="H7" s="30">
        <f>-'Cash Flow'!H31</f>
        <v>2077.0557510465142</v>
      </c>
      <c r="I7" s="30">
        <f>-'Cash Flow'!I31</f>
        <v>2127.7260385988398</v>
      </c>
      <c r="J7" s="30">
        <f>-'Cash Flow'!J31</f>
        <v>2167.897997835787</v>
      </c>
      <c r="K7" s="30">
        <f>-'Cash Flow'!K31</f>
        <v>2196.8151767492186</v>
      </c>
    </row>
    <row r="8" spans="1:11">
      <c r="A8" s="11" t="s">
        <v>171</v>
      </c>
      <c r="B8" s="10"/>
      <c r="C8" s="11"/>
      <c r="D8" s="126"/>
      <c r="E8" s="126"/>
      <c r="F8" s="126"/>
      <c r="G8" s="127"/>
      <c r="H8" s="127"/>
      <c r="I8" s="127"/>
      <c r="J8" s="127"/>
      <c r="K8" s="127"/>
    </row>
    <row r="9" spans="1:11">
      <c r="A9" s="11"/>
      <c r="B9" s="11" t="s">
        <v>172</v>
      </c>
      <c r="C9" s="11"/>
      <c r="D9" s="128"/>
      <c r="E9" s="128"/>
      <c r="F9" s="128"/>
      <c r="G9" s="10"/>
      <c r="H9" s="10"/>
      <c r="I9" s="10"/>
      <c r="J9" s="10"/>
      <c r="K9" s="10"/>
    </row>
    <row r="10" spans="1:11">
      <c r="A10" s="11"/>
      <c r="B10" s="11"/>
      <c r="C10" s="42" t="s">
        <v>173</v>
      </c>
      <c r="D10" s="128"/>
      <c r="E10" s="128"/>
      <c r="F10" s="128"/>
      <c r="G10" s="128">
        <v>11</v>
      </c>
      <c r="H10" s="128"/>
      <c r="I10" s="128"/>
      <c r="J10" s="128"/>
      <c r="K10" s="128"/>
    </row>
    <row r="11" spans="1:11">
      <c r="A11" s="11"/>
      <c r="B11" s="11"/>
      <c r="C11" s="10" t="s">
        <v>103</v>
      </c>
      <c r="D11" s="128"/>
      <c r="E11" s="128"/>
      <c r="F11" s="128"/>
      <c r="G11" s="128">
        <v>18</v>
      </c>
      <c r="H11" s="128">
        <f>G11</f>
        <v>18</v>
      </c>
      <c r="I11" s="128">
        <f>H11</f>
        <v>18</v>
      </c>
      <c r="J11" s="128">
        <f>I11</f>
        <v>18</v>
      </c>
      <c r="K11" s="128">
        <f>J11</f>
        <v>18</v>
      </c>
    </row>
    <row r="12" spans="1:11">
      <c r="A12" s="11"/>
      <c r="B12" s="11" t="s">
        <v>174</v>
      </c>
      <c r="C12" s="11"/>
      <c r="D12" s="128"/>
      <c r="E12" s="128"/>
      <c r="F12" s="128"/>
      <c r="G12" s="128"/>
      <c r="H12" s="128"/>
      <c r="I12" s="128"/>
      <c r="J12" s="128"/>
      <c r="K12" s="128"/>
    </row>
    <row r="13" spans="1:11">
      <c r="A13" s="11"/>
      <c r="B13" s="10"/>
      <c r="C13" s="42" t="s">
        <v>173</v>
      </c>
      <c r="D13" s="41"/>
      <c r="E13" s="41"/>
      <c r="F13" s="41"/>
      <c r="G13" s="41">
        <f>$G$6/$G$10</f>
        <v>936.63636363636363</v>
      </c>
      <c r="H13" s="41">
        <f>$G$6/$G$10</f>
        <v>936.63636363636363</v>
      </c>
      <c r="I13" s="41">
        <f>$G$6/$G$10</f>
        <v>936.63636363636363</v>
      </c>
      <c r="J13" s="41">
        <f>$G$6/$G$10</f>
        <v>936.63636363636363</v>
      </c>
      <c r="K13" s="41">
        <f>$G$6/$G$10</f>
        <v>936.63636363636363</v>
      </c>
    </row>
    <row r="14" spans="1:11">
      <c r="A14" s="10"/>
      <c r="B14" s="10"/>
      <c r="C14" s="42" t="str">
        <f>G$5&amp;" CAPEX"</f>
        <v>2025E CAPEX</v>
      </c>
      <c r="D14" s="43"/>
      <c r="E14" s="129"/>
      <c r="F14" s="129"/>
      <c r="G14" s="129">
        <f>$G$7/$G$11</f>
        <v>112.30141575118816</v>
      </c>
      <c r="H14" s="129">
        <f>$G$7/$G$11</f>
        <v>112.30141575118816</v>
      </c>
      <c r="I14" s="129">
        <f>$G$7/$G$11</f>
        <v>112.30141575118816</v>
      </c>
      <c r="J14" s="129">
        <f>$G$7/$G$11</f>
        <v>112.30141575118816</v>
      </c>
      <c r="K14" s="129">
        <f>$G$7/$G$11</f>
        <v>112.30141575118816</v>
      </c>
    </row>
    <row r="15" spans="1:11">
      <c r="A15" s="10"/>
      <c r="B15" s="10"/>
      <c r="C15" s="42" t="str">
        <f>H$5&amp;" CAPEX"</f>
        <v>2026E CAPEX</v>
      </c>
      <c r="D15" s="43"/>
      <c r="E15" s="129"/>
      <c r="F15" s="129"/>
      <c r="G15" s="129"/>
      <c r="H15" s="129">
        <f>$H$7/$H$11</f>
        <v>115.39198616925079</v>
      </c>
      <c r="I15" s="129">
        <f>$H$7/$H$11</f>
        <v>115.39198616925079</v>
      </c>
      <c r="J15" s="129">
        <f>$H$7/$H$11</f>
        <v>115.39198616925079</v>
      </c>
      <c r="K15" s="129">
        <f>$H$7/$H$11</f>
        <v>115.39198616925079</v>
      </c>
    </row>
    <row r="16" spans="1:11">
      <c r="A16" s="11"/>
      <c r="B16" s="10"/>
      <c r="C16" s="42" t="str">
        <f>I$5&amp;" CAPEX"</f>
        <v>2027E CAPEX</v>
      </c>
      <c r="D16" s="39"/>
      <c r="E16" s="39"/>
      <c r="F16" s="39"/>
      <c r="G16" s="39"/>
      <c r="H16" s="39"/>
      <c r="I16" s="129">
        <f>$I$7/$I$11</f>
        <v>118.20700214437998</v>
      </c>
      <c r="J16" s="129">
        <f>$I$7/$I$11</f>
        <v>118.20700214437998</v>
      </c>
      <c r="K16" s="129">
        <f>$I$7/$I$11</f>
        <v>118.20700214437998</v>
      </c>
    </row>
    <row r="17" spans="1:11">
      <c r="A17" s="11"/>
      <c r="B17" s="10"/>
      <c r="C17" s="42" t="str">
        <f>J$5&amp;" CAPEX"</f>
        <v>2028E CAPEX</v>
      </c>
      <c r="D17" s="129"/>
      <c r="E17" s="129"/>
      <c r="F17" s="129"/>
      <c r="G17" s="129"/>
      <c r="H17" s="129"/>
      <c r="I17" s="129"/>
      <c r="J17" s="129">
        <f>$J$7/$J$11</f>
        <v>120.43877765754372</v>
      </c>
      <c r="K17" s="129">
        <f>$J$7/$J$11</f>
        <v>120.43877765754372</v>
      </c>
    </row>
    <row r="18" spans="1:11">
      <c r="A18" s="11"/>
      <c r="B18" s="10"/>
      <c r="C18" s="42" t="str">
        <f>K$5&amp;" CAPEX"</f>
        <v>2029E CAPEX</v>
      </c>
      <c r="D18" s="43"/>
      <c r="E18" s="129"/>
      <c r="F18" s="129"/>
      <c r="G18" s="368"/>
      <c r="H18" s="368"/>
      <c r="I18" s="368"/>
      <c r="J18" s="368"/>
      <c r="K18" s="368">
        <f>$K$7/$K$11</f>
        <v>122.04528759717881</v>
      </c>
    </row>
    <row r="19" spans="1:11">
      <c r="A19" s="22"/>
      <c r="B19" s="22" t="s">
        <v>175</v>
      </c>
      <c r="C19" s="22"/>
      <c r="D19" s="364">
        <f>'Income Statement'!D22</f>
        <v>1260</v>
      </c>
      <c r="E19" s="364">
        <f>'Income Statement'!E22</f>
        <v>1128</v>
      </c>
      <c r="F19" s="364">
        <f>'Income Statement'!F22</f>
        <v>1075</v>
      </c>
      <c r="G19" s="364">
        <f>SUM(G13:G18)</f>
        <v>1048.9377793875517</v>
      </c>
      <c r="H19" s="364">
        <f>SUM(H13:H18)</f>
        <v>1164.3297655568024</v>
      </c>
      <c r="I19" s="364">
        <f>SUM(I13:I18)</f>
        <v>1282.5367677011823</v>
      </c>
      <c r="J19" s="364">
        <f>SUM(J13:J18)</f>
        <v>1402.9755453587261</v>
      </c>
      <c r="K19" s="364">
        <f>SUM(K13:K18)</f>
        <v>1525.020832955905</v>
      </c>
    </row>
    <row r="20" spans="1:11">
      <c r="E20" s="1"/>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C9531-3DBC-43BD-B17C-21DFD165C4F2}">
  <dimension ref="A1:K44"/>
  <sheetViews>
    <sheetView zoomScale="84" workbookViewId="0">
      <selection activeCell="H40" sqref="H40"/>
    </sheetView>
  </sheetViews>
  <sheetFormatPr baseColWidth="10" defaultColWidth="11.33203125" defaultRowHeight="15"/>
  <cols>
    <col min="1" max="1" width="29.1640625" bestFit="1" customWidth="1"/>
    <col min="2" max="2" width="34.33203125" bestFit="1" customWidth="1"/>
    <col min="3" max="3" width="29.83203125" bestFit="1" customWidth="1"/>
  </cols>
  <sheetData>
    <row r="1" spans="1:11">
      <c r="A1" s="131" t="s">
        <v>176</v>
      </c>
      <c r="B1" s="131"/>
      <c r="C1" s="131"/>
      <c r="D1" s="131"/>
      <c r="E1" s="131"/>
      <c r="F1" s="131"/>
      <c r="G1" s="131"/>
      <c r="H1" s="131"/>
      <c r="I1" s="131"/>
      <c r="J1" s="131"/>
      <c r="K1" s="131"/>
    </row>
    <row r="2" spans="1:11">
      <c r="A2" s="132" t="s">
        <v>1</v>
      </c>
      <c r="B2" s="132"/>
      <c r="C2" s="132"/>
      <c r="D2" s="133" t="s">
        <v>52</v>
      </c>
      <c r="E2" s="133"/>
      <c r="F2" s="134"/>
      <c r="G2" s="135" t="s">
        <v>2</v>
      </c>
      <c r="H2" s="136"/>
      <c r="I2" s="133"/>
      <c r="J2" s="133"/>
      <c r="K2" s="133"/>
    </row>
    <row r="3" spans="1:11">
      <c r="A3" s="132"/>
      <c r="B3" s="132"/>
      <c r="C3" s="132"/>
      <c r="D3" s="137"/>
      <c r="E3" s="137"/>
      <c r="F3" s="137"/>
      <c r="G3" s="137"/>
      <c r="H3" s="137"/>
      <c r="I3" s="137"/>
      <c r="J3" s="137"/>
      <c r="K3" s="137"/>
    </row>
    <row r="4" spans="1:11">
      <c r="A4" s="133" t="s">
        <v>53</v>
      </c>
      <c r="B4" s="138"/>
      <c r="C4" s="138"/>
      <c r="D4" s="138" t="s">
        <v>4</v>
      </c>
      <c r="E4" s="138" t="s">
        <v>5</v>
      </c>
      <c r="F4" s="138" t="s">
        <v>6</v>
      </c>
      <c r="G4" s="138" t="s">
        <v>7</v>
      </c>
      <c r="H4" s="138" t="s">
        <v>8</v>
      </c>
      <c r="I4" s="138" t="s">
        <v>9</v>
      </c>
      <c r="J4" s="138" t="s">
        <v>10</v>
      </c>
      <c r="K4" s="138" t="s">
        <v>11</v>
      </c>
    </row>
    <row r="5" spans="1:11">
      <c r="A5" s="122" t="s">
        <v>177</v>
      </c>
      <c r="B5" s="139"/>
      <c r="C5" s="139"/>
      <c r="D5" s="139"/>
      <c r="E5" s="139"/>
      <c r="F5" s="139"/>
      <c r="G5" s="139"/>
      <c r="H5" s="139"/>
      <c r="I5" s="139"/>
      <c r="J5" s="139"/>
      <c r="K5" s="139"/>
    </row>
    <row r="6" spans="1:11">
      <c r="A6" s="119"/>
      <c r="B6" s="119" t="s">
        <v>178</v>
      </c>
      <c r="C6" s="119"/>
      <c r="D6" s="119"/>
      <c r="E6" s="119"/>
      <c r="F6" s="119"/>
      <c r="G6" s="120">
        <f>F40</f>
        <v>10828</v>
      </c>
      <c r="H6" s="120">
        <f ca="1">G40</f>
        <v>19986.238453863913</v>
      </c>
      <c r="I6" s="120">
        <f t="shared" ref="I6:K6" ca="1" si="0">H40</f>
        <v>28985.771092726834</v>
      </c>
      <c r="J6" s="120">
        <f t="shared" ca="1" si="0"/>
        <v>41915.121106052349</v>
      </c>
      <c r="K6" s="120">
        <f t="shared" ca="1" si="0"/>
        <v>56267.660896062844</v>
      </c>
    </row>
    <row r="7" spans="1:11">
      <c r="A7" s="119"/>
      <c r="B7" s="119" t="s">
        <v>100</v>
      </c>
      <c r="C7" s="119"/>
      <c r="D7" s="119"/>
      <c r="E7" s="119"/>
      <c r="F7" s="119"/>
      <c r="G7" s="120">
        <f ca="1">'Cash Flow'!G54</f>
        <v>9158.2384538639126</v>
      </c>
      <c r="H7" s="120">
        <f ca="1">'Cash Flow'!H54</f>
        <v>8999.5326388629219</v>
      </c>
      <c r="I7" s="120">
        <f ca="1">'Cash Flow'!I54</f>
        <v>12929.350013325515</v>
      </c>
      <c r="J7" s="120">
        <f ca="1">'Cash Flow'!J54</f>
        <v>14352.539790010493</v>
      </c>
      <c r="K7" s="120">
        <f ca="1">'Cash Flow'!K54</f>
        <v>11820.384081839917</v>
      </c>
    </row>
    <row r="8" spans="1:11">
      <c r="A8" s="119"/>
      <c r="B8" s="119" t="s">
        <v>179</v>
      </c>
      <c r="C8" s="119"/>
      <c r="D8" s="119"/>
      <c r="E8" s="140"/>
      <c r="F8" s="140"/>
      <c r="G8" s="141">
        <v>-9500</v>
      </c>
      <c r="H8" s="141">
        <v>-9500</v>
      </c>
      <c r="I8" s="141">
        <v>-9500</v>
      </c>
      <c r="J8" s="141">
        <v>-9500</v>
      </c>
      <c r="K8" s="141">
        <v>-9500</v>
      </c>
    </row>
    <row r="9" spans="1:11">
      <c r="A9" s="119"/>
      <c r="B9" s="122" t="s">
        <v>180</v>
      </c>
      <c r="C9" s="122"/>
      <c r="D9" s="122"/>
      <c r="E9" s="122"/>
      <c r="F9" s="122"/>
      <c r="G9" s="142">
        <f ca="1">SUM(G6:G8)</f>
        <v>10486.238453863913</v>
      </c>
      <c r="H9" s="142">
        <f ca="1">SUM(H6:H8)</f>
        <v>19485.771092726834</v>
      </c>
      <c r="I9" s="142">
        <f ca="1">SUM(I6:I8)</f>
        <v>32415.121106052349</v>
      </c>
      <c r="J9" s="142">
        <f ca="1">SUM(J6:J8)</f>
        <v>46767.660896062844</v>
      </c>
      <c r="K9" s="142">
        <f ca="1">SUM(K6:K8)</f>
        <v>58588.044977902755</v>
      </c>
    </row>
    <row r="10" spans="1:11">
      <c r="A10" s="122" t="s">
        <v>181</v>
      </c>
      <c r="B10" s="119"/>
      <c r="C10" s="119"/>
      <c r="D10" s="119"/>
      <c r="E10" s="119"/>
      <c r="F10" s="119"/>
      <c r="G10" s="119"/>
      <c r="H10" s="119"/>
      <c r="I10" s="119"/>
      <c r="J10" s="119"/>
      <c r="K10" s="119"/>
    </row>
    <row r="11" spans="1:11">
      <c r="A11" s="122"/>
      <c r="B11" s="119" t="s">
        <v>182</v>
      </c>
      <c r="C11" s="119"/>
      <c r="D11" s="119"/>
      <c r="E11" s="119"/>
      <c r="F11" s="119"/>
      <c r="G11" s="120">
        <f>F14</f>
        <v>2147</v>
      </c>
      <c r="H11" s="120">
        <f t="shared" ref="H11:K11" si="1">G14</f>
        <v>2147</v>
      </c>
      <c r="I11" s="120">
        <f t="shared" si="1"/>
        <v>2147</v>
      </c>
      <c r="J11" s="120">
        <f t="shared" si="1"/>
        <v>2147</v>
      </c>
      <c r="K11" s="120">
        <f t="shared" si="1"/>
        <v>2147</v>
      </c>
    </row>
    <row r="12" spans="1:11">
      <c r="A12" s="122"/>
      <c r="B12" s="119" t="s">
        <v>183</v>
      </c>
      <c r="C12" s="119"/>
      <c r="D12" s="119"/>
      <c r="E12" s="121"/>
      <c r="F12" s="121"/>
      <c r="G12" s="121">
        <v>0</v>
      </c>
      <c r="H12" s="121">
        <v>0</v>
      </c>
      <c r="I12" s="121">
        <v>0</v>
      </c>
      <c r="J12" s="121">
        <v>0</v>
      </c>
      <c r="K12" s="121">
        <v>0</v>
      </c>
    </row>
    <row r="13" spans="1:11">
      <c r="A13" s="122"/>
      <c r="B13" s="119" t="s">
        <v>184</v>
      </c>
      <c r="C13" s="119"/>
      <c r="D13" s="119"/>
      <c r="E13" s="140"/>
      <c r="F13" s="140"/>
      <c r="G13" s="143"/>
      <c r="H13" s="143"/>
      <c r="I13" s="143"/>
      <c r="J13" s="143"/>
      <c r="K13" s="143"/>
    </row>
    <row r="14" spans="1:11">
      <c r="A14" s="119"/>
      <c r="B14" s="122" t="s">
        <v>185</v>
      </c>
      <c r="C14" s="119"/>
      <c r="D14" s="122"/>
      <c r="E14" s="122"/>
      <c r="F14" s="142">
        <f>'Balance Sheet'!F28</f>
        <v>2147</v>
      </c>
      <c r="G14" s="142">
        <f>SUM(G11:G13)</f>
        <v>2147</v>
      </c>
      <c r="H14" s="142">
        <f t="shared" ref="H14:K14" si="2">SUM(H11:H13)</f>
        <v>2147</v>
      </c>
      <c r="I14" s="142">
        <f t="shared" si="2"/>
        <v>2147</v>
      </c>
      <c r="J14" s="142">
        <f t="shared" si="2"/>
        <v>2147</v>
      </c>
      <c r="K14" s="142">
        <f t="shared" si="2"/>
        <v>2147</v>
      </c>
    </row>
    <row r="15" spans="1:11">
      <c r="A15" s="122"/>
      <c r="B15" s="119" t="s">
        <v>186</v>
      </c>
      <c r="C15" s="144"/>
      <c r="D15" s="119"/>
      <c r="E15" s="119"/>
      <c r="F15" s="119"/>
      <c r="G15" s="120">
        <f>AVERAGE(G14,F14)*G16</f>
        <v>110.5705</v>
      </c>
      <c r="H15" s="120">
        <f t="shared" ref="H15:K15" si="3">AVERAGE(H14,G14)*H16</f>
        <v>110.5705</v>
      </c>
      <c r="I15" s="120">
        <f t="shared" si="3"/>
        <v>110.5705</v>
      </c>
      <c r="J15" s="120">
        <f t="shared" si="3"/>
        <v>110.5705</v>
      </c>
      <c r="K15" s="120">
        <f t="shared" si="3"/>
        <v>110.5705</v>
      </c>
    </row>
    <row r="16" spans="1:11">
      <c r="A16" s="122"/>
      <c r="B16" s="119"/>
      <c r="C16" s="145" t="s">
        <v>187</v>
      </c>
      <c r="D16" s="119"/>
      <c r="E16" s="146"/>
      <c r="F16" s="146"/>
      <c r="G16" s="147">
        <v>5.1499999999999997E-2</v>
      </c>
      <c r="H16" s="147">
        <v>5.1499999999999997E-2</v>
      </c>
      <c r="I16" s="147">
        <v>5.1499999999999997E-2</v>
      </c>
      <c r="J16" s="147">
        <v>5.1499999999999997E-2</v>
      </c>
      <c r="K16" s="147">
        <v>5.1499999999999997E-2</v>
      </c>
    </row>
    <row r="17" spans="1:11">
      <c r="A17" s="122" t="s">
        <v>188</v>
      </c>
      <c r="B17" s="119"/>
      <c r="C17" s="119"/>
      <c r="D17" s="119"/>
      <c r="E17" s="119"/>
      <c r="F17" s="119"/>
      <c r="G17" s="119"/>
      <c r="H17" s="119"/>
      <c r="I17" s="119"/>
      <c r="J17" s="119"/>
      <c r="K17" s="119"/>
    </row>
    <row r="18" spans="1:11">
      <c r="A18" s="122"/>
      <c r="B18" s="119" t="s">
        <v>189</v>
      </c>
      <c r="C18" s="119"/>
      <c r="D18" s="119"/>
      <c r="E18" s="119"/>
      <c r="F18" s="119"/>
      <c r="G18" s="120">
        <f>F21</f>
        <v>42375</v>
      </c>
      <c r="H18" s="120">
        <f t="shared" ref="H18:K18" si="4">G21</f>
        <v>42375</v>
      </c>
      <c r="I18" s="120">
        <f t="shared" si="4"/>
        <v>42375</v>
      </c>
      <c r="J18" s="120">
        <f t="shared" si="4"/>
        <v>42375</v>
      </c>
      <c r="K18" s="120">
        <f t="shared" si="4"/>
        <v>42375</v>
      </c>
    </row>
    <row r="19" spans="1:11">
      <c r="A19" s="122"/>
      <c r="B19" s="119" t="s">
        <v>183</v>
      </c>
      <c r="C19" s="119"/>
      <c r="D19" s="119"/>
      <c r="E19" s="121"/>
      <c r="F19" s="121"/>
      <c r="G19" s="121">
        <v>0</v>
      </c>
      <c r="H19" s="121">
        <v>0</v>
      </c>
      <c r="I19" s="121">
        <v>0</v>
      </c>
      <c r="J19" s="121">
        <v>0</v>
      </c>
      <c r="K19" s="121">
        <v>0</v>
      </c>
    </row>
    <row r="20" spans="1:11">
      <c r="A20" s="122"/>
      <c r="B20" s="119" t="s">
        <v>184</v>
      </c>
      <c r="C20" s="119"/>
      <c r="D20" s="119"/>
      <c r="E20" s="140"/>
      <c r="F20" s="140"/>
      <c r="G20" s="143"/>
      <c r="H20" s="143"/>
      <c r="I20" s="143"/>
      <c r="J20" s="143"/>
      <c r="K20" s="143"/>
    </row>
    <row r="21" spans="1:11">
      <c r="A21" s="119"/>
      <c r="B21" s="122" t="s">
        <v>190</v>
      </c>
      <c r="C21" s="119"/>
      <c r="D21" s="122"/>
      <c r="E21" s="122"/>
      <c r="F21" s="142">
        <f>'Balance Sheet'!F31</f>
        <v>42375</v>
      </c>
      <c r="G21" s="142">
        <f>SUM(G18:G20)</f>
        <v>42375</v>
      </c>
      <c r="H21" s="142">
        <f>SUM(H18:H20)</f>
        <v>42375</v>
      </c>
      <c r="I21" s="142">
        <f>SUM(I18:I20)</f>
        <v>42375</v>
      </c>
      <c r="J21" s="142">
        <f>SUM(J18:J20)</f>
        <v>42375</v>
      </c>
      <c r="K21" s="142">
        <f>SUM(K18:K20)</f>
        <v>42375</v>
      </c>
    </row>
    <row r="22" spans="1:11">
      <c r="A22" s="122"/>
      <c r="B22" s="119" t="s">
        <v>191</v>
      </c>
      <c r="C22" s="144"/>
      <c r="D22" s="119"/>
      <c r="E22" s="119"/>
      <c r="F22" s="119"/>
      <c r="G22" s="120">
        <f>AVERAGE(G21,F21)*G23</f>
        <v>2118.75</v>
      </c>
      <c r="H22" s="120">
        <f>AVERAGE(H21,G21)*H23</f>
        <v>2118.75</v>
      </c>
      <c r="I22" s="120">
        <f>AVERAGE(I21,H21)*I23</f>
        <v>2118.75</v>
      </c>
      <c r="J22" s="120">
        <f>AVERAGE(J21,I21)*J23</f>
        <v>2118.75</v>
      </c>
      <c r="K22" s="120">
        <f>AVERAGE(K21,J21)*K23</f>
        <v>2118.75</v>
      </c>
    </row>
    <row r="23" spans="1:11">
      <c r="A23" s="122"/>
      <c r="B23" s="119"/>
      <c r="C23" s="145" t="s">
        <v>192</v>
      </c>
      <c r="D23" s="119"/>
      <c r="E23" s="146"/>
      <c r="F23" s="146"/>
      <c r="G23" s="148">
        <v>0.05</v>
      </c>
      <c r="H23" s="149">
        <v>0.05</v>
      </c>
      <c r="I23" s="149">
        <v>0.05</v>
      </c>
      <c r="J23" s="149">
        <v>0.05</v>
      </c>
      <c r="K23" s="149">
        <v>0.05</v>
      </c>
    </row>
    <row r="24" spans="1:11">
      <c r="A24" s="122" t="s">
        <v>193</v>
      </c>
      <c r="B24" s="119"/>
      <c r="C24" s="119"/>
      <c r="D24" s="119"/>
      <c r="E24" s="146"/>
      <c r="F24" s="146"/>
      <c r="G24" s="146"/>
      <c r="H24" s="146"/>
      <c r="I24" s="146"/>
      <c r="J24" s="146"/>
      <c r="K24" s="146"/>
    </row>
    <row r="25" spans="1:11">
      <c r="A25" s="122"/>
      <c r="B25" s="119" t="s">
        <v>194</v>
      </c>
      <c r="C25" s="119"/>
      <c r="D25" s="119"/>
      <c r="E25" s="146"/>
      <c r="F25" s="146"/>
      <c r="G25" s="120">
        <f>F28</f>
        <v>0</v>
      </c>
      <c r="H25" s="120">
        <f t="shared" ref="H25:K25" si="5">G28</f>
        <v>0</v>
      </c>
      <c r="I25" s="120">
        <f t="shared" si="5"/>
        <v>0</v>
      </c>
      <c r="J25" s="120">
        <f t="shared" si="5"/>
        <v>0</v>
      </c>
      <c r="K25" s="120">
        <f t="shared" si="5"/>
        <v>0</v>
      </c>
    </row>
    <row r="26" spans="1:11">
      <c r="A26" s="122"/>
      <c r="B26" s="119" t="s">
        <v>183</v>
      </c>
      <c r="C26" s="119"/>
      <c r="D26" s="119"/>
      <c r="E26" s="146"/>
      <c r="F26" s="146"/>
      <c r="G26" s="121">
        <v>0</v>
      </c>
      <c r="H26" s="121">
        <v>0</v>
      </c>
      <c r="I26" s="121">
        <v>0</v>
      </c>
      <c r="J26" s="121">
        <v>0</v>
      </c>
      <c r="K26" s="121">
        <v>0</v>
      </c>
    </row>
    <row r="27" spans="1:11">
      <c r="A27" s="122"/>
      <c r="B27" s="119" t="s">
        <v>184</v>
      </c>
      <c r="C27" s="119"/>
      <c r="D27" s="119"/>
      <c r="E27" s="146"/>
      <c r="F27" s="146"/>
      <c r="G27" s="143"/>
      <c r="H27" s="143"/>
      <c r="I27" s="143"/>
      <c r="J27" s="143"/>
      <c r="K27" s="143"/>
    </row>
    <row r="28" spans="1:11">
      <c r="A28" s="119"/>
      <c r="B28" s="122" t="s">
        <v>195</v>
      </c>
      <c r="C28" s="119"/>
      <c r="D28" s="119"/>
      <c r="E28" s="146"/>
      <c r="F28" s="142">
        <v>0</v>
      </c>
      <c r="G28" s="142">
        <f>SUM(G25:G27)</f>
        <v>0</v>
      </c>
      <c r="H28" s="142">
        <f>SUM(H25:H27)</f>
        <v>0</v>
      </c>
      <c r="I28" s="142">
        <f>SUM(I25:I27)</f>
        <v>0</v>
      </c>
      <c r="J28" s="142">
        <f>SUM(J25:J27)</f>
        <v>0</v>
      </c>
      <c r="K28" s="142">
        <f>SUM(K25:K27)</f>
        <v>0</v>
      </c>
    </row>
    <row r="29" spans="1:11">
      <c r="A29" s="122"/>
      <c r="B29" s="119" t="s">
        <v>196</v>
      </c>
      <c r="C29" s="144"/>
      <c r="D29" s="119"/>
      <c r="E29" s="146"/>
      <c r="F29" s="146"/>
      <c r="G29" s="120">
        <f>AVERAGE(F28,G28)*G30</f>
        <v>0</v>
      </c>
      <c r="H29" s="120">
        <f>AVERAGE(G28,H28)*H30</f>
        <v>0</v>
      </c>
      <c r="I29" s="120">
        <f>AVERAGE(H28,I28)*I30</f>
        <v>0</v>
      </c>
      <c r="J29" s="120">
        <f>AVERAGE(I28,J28)*J30</f>
        <v>0</v>
      </c>
      <c r="K29" s="120">
        <f>AVERAGE(J28,K28)*K30</f>
        <v>0</v>
      </c>
    </row>
    <row r="30" spans="1:11">
      <c r="A30" s="122"/>
      <c r="B30" s="119"/>
      <c r="C30" s="145" t="s">
        <v>197</v>
      </c>
      <c r="D30" s="119"/>
      <c r="E30" s="146"/>
      <c r="F30" s="146"/>
      <c r="G30" s="148">
        <v>0.05</v>
      </c>
      <c r="H30" s="148">
        <v>0.05</v>
      </c>
      <c r="I30" s="148">
        <v>0.05</v>
      </c>
      <c r="J30" s="148">
        <v>0.05</v>
      </c>
      <c r="K30" s="148">
        <v>0.05</v>
      </c>
    </row>
    <row r="31" spans="1:11">
      <c r="A31" s="122" t="s">
        <v>198</v>
      </c>
      <c r="B31" s="119"/>
      <c r="C31" s="145"/>
      <c r="D31" s="119"/>
      <c r="E31" s="146"/>
      <c r="F31" s="444"/>
      <c r="G31" s="146"/>
      <c r="H31" s="146"/>
      <c r="I31" s="146"/>
      <c r="J31" s="146"/>
      <c r="K31" s="146"/>
    </row>
    <row r="32" spans="1:11">
      <c r="A32" s="122"/>
      <c r="B32" s="119" t="s">
        <v>199</v>
      </c>
      <c r="C32" s="145"/>
      <c r="D32" s="119"/>
      <c r="E32" s="146"/>
      <c r="F32" s="146"/>
      <c r="G32" s="119">
        <f>F35</f>
        <v>0</v>
      </c>
      <c r="H32" s="119">
        <f t="shared" ref="H32:K32" si="6">G35</f>
        <v>0</v>
      </c>
      <c r="I32" s="119">
        <f t="shared" si="6"/>
        <v>0</v>
      </c>
      <c r="J32" s="119">
        <f t="shared" si="6"/>
        <v>0</v>
      </c>
      <c r="K32" s="119">
        <f t="shared" si="6"/>
        <v>0</v>
      </c>
    </row>
    <row r="33" spans="1:11">
      <c r="A33" s="122"/>
      <c r="B33" s="119" t="s">
        <v>183</v>
      </c>
      <c r="C33" s="145"/>
      <c r="D33" s="119"/>
      <c r="E33" s="146"/>
      <c r="F33" s="146"/>
      <c r="G33" s="121">
        <v>0</v>
      </c>
      <c r="H33" s="121">
        <v>0</v>
      </c>
      <c r="I33" s="121">
        <v>0</v>
      </c>
      <c r="J33" s="121">
        <v>0</v>
      </c>
      <c r="K33" s="121">
        <v>0</v>
      </c>
    </row>
    <row r="34" spans="1:11">
      <c r="A34" s="122"/>
      <c r="B34" s="119" t="s">
        <v>184</v>
      </c>
      <c r="C34" s="145"/>
      <c r="D34" s="119"/>
      <c r="E34" s="146"/>
      <c r="F34" s="146"/>
      <c r="G34" s="143"/>
      <c r="H34" s="143"/>
      <c r="I34" s="143"/>
      <c r="J34" s="143"/>
      <c r="K34" s="143"/>
    </row>
    <row r="35" spans="1:11">
      <c r="A35" s="122"/>
      <c r="B35" s="122" t="s">
        <v>200</v>
      </c>
      <c r="C35" s="150"/>
      <c r="D35" s="119"/>
      <c r="E35" s="146"/>
      <c r="F35" s="122">
        <v>0</v>
      </c>
      <c r="G35" s="122">
        <f>SUM(G32:G34)</f>
        <v>0</v>
      </c>
      <c r="H35" s="122">
        <f>SUM(H32:H34)</f>
        <v>0</v>
      </c>
      <c r="I35" s="122">
        <f>SUM(I32:I34)</f>
        <v>0</v>
      </c>
      <c r="J35" s="122">
        <f>SUM(J32:J34)</f>
        <v>0</v>
      </c>
      <c r="K35" s="122">
        <f>SUM(K32:K34)</f>
        <v>0</v>
      </c>
    </row>
    <row r="36" spans="1:11">
      <c r="A36" s="122"/>
      <c r="B36" s="119" t="s">
        <v>201</v>
      </c>
      <c r="C36" s="145"/>
      <c r="D36" s="119"/>
      <c r="E36" s="146"/>
      <c r="F36" s="146"/>
      <c r="G36" s="119">
        <v>0</v>
      </c>
      <c r="H36" s="119">
        <v>0</v>
      </c>
      <c r="I36" s="119">
        <v>0</v>
      </c>
      <c r="J36" s="119">
        <v>0</v>
      </c>
      <c r="K36" s="119">
        <v>0</v>
      </c>
    </row>
    <row r="37" spans="1:11">
      <c r="A37" s="122"/>
      <c r="B37" s="119"/>
      <c r="C37" s="145" t="s">
        <v>202</v>
      </c>
      <c r="D37" s="119"/>
      <c r="E37" s="146"/>
      <c r="F37" s="146"/>
      <c r="G37" s="148">
        <v>0.05</v>
      </c>
      <c r="H37" s="149">
        <v>0.05</v>
      </c>
      <c r="I37" s="149">
        <v>0.05</v>
      </c>
      <c r="J37" s="149">
        <v>0.05</v>
      </c>
      <c r="K37" s="149">
        <v>0.05</v>
      </c>
    </row>
    <row r="38" spans="1:11">
      <c r="A38" s="119"/>
      <c r="B38" s="122" t="s">
        <v>203</v>
      </c>
      <c r="C38" s="119"/>
      <c r="D38" s="119"/>
      <c r="E38" s="122"/>
      <c r="F38" s="122"/>
      <c r="G38" s="122">
        <v>0</v>
      </c>
      <c r="H38" s="122">
        <v>0</v>
      </c>
      <c r="I38" s="122">
        <v>0</v>
      </c>
      <c r="J38" s="122">
        <v>0</v>
      </c>
      <c r="K38" s="122">
        <v>0</v>
      </c>
    </row>
    <row r="39" spans="1:11">
      <c r="A39" s="119"/>
      <c r="B39" s="122" t="s">
        <v>204</v>
      </c>
      <c r="C39" s="119"/>
      <c r="D39" s="119"/>
      <c r="E39" s="151"/>
      <c r="F39" s="151"/>
      <c r="G39" s="152">
        <f>G36+G29+G22+G15</f>
        <v>2229.3204999999998</v>
      </c>
      <c r="H39" s="152">
        <f>H36+H29+H22+H15</f>
        <v>2229.3204999999998</v>
      </c>
      <c r="I39" s="152">
        <f>I36+I29+I22+I15</f>
        <v>2229.3204999999998</v>
      </c>
      <c r="J39" s="152">
        <f>J36+J29+J22+J15</f>
        <v>2229.3204999999998</v>
      </c>
      <c r="K39" s="152">
        <f>K36+K29+K22+K15</f>
        <v>2229.3204999999998</v>
      </c>
    </row>
    <row r="40" spans="1:11">
      <c r="A40" s="119"/>
      <c r="B40" s="122" t="s">
        <v>205</v>
      </c>
      <c r="C40" s="119"/>
      <c r="D40" s="122"/>
      <c r="E40" s="122"/>
      <c r="F40" s="142">
        <f>'Balance Sheet'!F8</f>
        <v>10828</v>
      </c>
      <c r="G40" s="142">
        <f ca="1">G6+G7+G38</f>
        <v>19986.238453863913</v>
      </c>
      <c r="H40" s="142">
        <f t="shared" ref="H40:K40" ca="1" si="7">H6+H7+H38</f>
        <v>28985.771092726834</v>
      </c>
      <c r="I40" s="142">
        <f t="shared" ca="1" si="7"/>
        <v>41915.121106052349</v>
      </c>
      <c r="J40" s="142">
        <f t="shared" ca="1" si="7"/>
        <v>56267.660896062844</v>
      </c>
      <c r="K40" s="142">
        <f t="shared" ca="1" si="7"/>
        <v>68088.044977902755</v>
      </c>
    </row>
    <row r="41" spans="1:11">
      <c r="A41" s="119"/>
      <c r="B41" s="119" t="s">
        <v>206</v>
      </c>
      <c r="C41" s="144"/>
      <c r="D41" s="119"/>
      <c r="E41" s="119"/>
      <c r="F41" s="119"/>
      <c r="G41" s="443">
        <f ca="1">-AVERAGE(F40:G40)*G42</f>
        <v>-539.24917294261854</v>
      </c>
      <c r="H41" s="443">
        <f t="shared" ref="H41:K41" ca="1" si="8">-AVERAGE(G40:H40)*H42</f>
        <v>-857.01016706533824</v>
      </c>
      <c r="I41" s="443">
        <f t="shared" ca="1" si="8"/>
        <v>-1240.7656134786359</v>
      </c>
      <c r="J41" s="443">
        <f t="shared" ca="1" si="8"/>
        <v>-1718.1986850370158</v>
      </c>
      <c r="K41" s="443">
        <f t="shared" ca="1" si="8"/>
        <v>-2176.2248527943984</v>
      </c>
    </row>
    <row r="42" spans="1:11">
      <c r="A42" s="119"/>
      <c r="B42" s="119"/>
      <c r="C42" s="145" t="s">
        <v>207</v>
      </c>
      <c r="D42" s="119"/>
      <c r="E42" s="146"/>
      <c r="F42" s="146"/>
      <c r="G42" s="153">
        <v>3.5000000000000003E-2</v>
      </c>
      <c r="H42" s="153">
        <f>G42</f>
        <v>3.5000000000000003E-2</v>
      </c>
      <c r="I42" s="153">
        <f t="shared" ref="I42:K42" si="9">H42</f>
        <v>3.5000000000000003E-2</v>
      </c>
      <c r="J42" s="153">
        <f t="shared" si="9"/>
        <v>3.5000000000000003E-2</v>
      </c>
      <c r="K42" s="153">
        <f t="shared" si="9"/>
        <v>3.5000000000000003E-2</v>
      </c>
    </row>
    <row r="43" spans="1:11">
      <c r="A43" s="143"/>
      <c r="B43" s="154" t="s">
        <v>168</v>
      </c>
      <c r="C43" s="143"/>
      <c r="D43" s="154"/>
      <c r="E43" s="154"/>
      <c r="F43" s="154"/>
      <c r="G43" s="154" t="s">
        <v>208</v>
      </c>
      <c r="H43" s="154" t="s">
        <v>208</v>
      </c>
      <c r="I43" s="154" t="s">
        <v>208</v>
      </c>
      <c r="J43" s="154" t="s">
        <v>208</v>
      </c>
      <c r="K43" s="154" t="s">
        <v>208</v>
      </c>
    </row>
    <row r="44" spans="1:11">
      <c r="G44" s="18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9E3D8-3BC5-40F9-9B8B-82EC5805A68B}">
  <dimension ref="A1:P74"/>
  <sheetViews>
    <sheetView zoomScale="104" workbookViewId="0">
      <selection activeCell="E41" sqref="E41"/>
    </sheetView>
  </sheetViews>
  <sheetFormatPr baseColWidth="10" defaultColWidth="8.83203125" defaultRowHeight="12"/>
  <cols>
    <col min="1" max="2" width="2.6640625" style="203" customWidth="1"/>
    <col min="3" max="3" width="27" style="203" customWidth="1"/>
    <col min="4" max="4" width="15" style="203" customWidth="1"/>
    <col min="5" max="5" width="13.83203125" style="203" bestFit="1" customWidth="1"/>
    <col min="6" max="6" width="15.83203125" style="203" bestFit="1" customWidth="1"/>
    <col min="7" max="13" width="9.6640625" style="203" customWidth="1"/>
    <col min="14" max="14" width="9.1640625" style="203"/>
    <col min="15" max="15" width="12.83203125" style="203" bestFit="1" customWidth="1"/>
    <col min="16" max="256" width="9.1640625" style="203"/>
    <col min="257" max="258" width="2.6640625" style="203" customWidth="1"/>
    <col min="259" max="259" width="27" style="203" customWidth="1"/>
    <col min="260" max="260" width="15" style="203" customWidth="1"/>
    <col min="261" max="261" width="13.83203125" style="203" bestFit="1" customWidth="1"/>
    <col min="262" max="262" width="15.83203125" style="203" bestFit="1" customWidth="1"/>
    <col min="263" max="269" width="9.6640625" style="203" customWidth="1"/>
    <col min="270" max="270" width="9.1640625" style="203"/>
    <col min="271" max="271" width="12.83203125" style="203" bestFit="1" customWidth="1"/>
    <col min="272" max="512" width="9.1640625" style="203"/>
    <col min="513" max="514" width="2.6640625" style="203" customWidth="1"/>
    <col min="515" max="515" width="27" style="203" customWidth="1"/>
    <col min="516" max="516" width="15" style="203" customWidth="1"/>
    <col min="517" max="517" width="13.83203125" style="203" bestFit="1" customWidth="1"/>
    <col min="518" max="518" width="15.83203125" style="203" bestFit="1" customWidth="1"/>
    <col min="519" max="525" width="9.6640625" style="203" customWidth="1"/>
    <col min="526" max="526" width="9.1640625" style="203"/>
    <col min="527" max="527" width="12.83203125" style="203" bestFit="1" customWidth="1"/>
    <col min="528" max="768" width="9.1640625" style="203"/>
    <col min="769" max="770" width="2.6640625" style="203" customWidth="1"/>
    <col min="771" max="771" width="27" style="203" customWidth="1"/>
    <col min="772" max="772" width="15" style="203" customWidth="1"/>
    <col min="773" max="773" width="13.83203125" style="203" bestFit="1" customWidth="1"/>
    <col min="774" max="774" width="15.83203125" style="203" bestFit="1" customWidth="1"/>
    <col min="775" max="781" width="9.6640625" style="203" customWidth="1"/>
    <col min="782" max="782" width="9.1640625" style="203"/>
    <col min="783" max="783" width="12.83203125" style="203" bestFit="1" customWidth="1"/>
    <col min="784" max="1024" width="9.1640625" style="203"/>
    <col min="1025" max="1026" width="2.6640625" style="203" customWidth="1"/>
    <col min="1027" max="1027" width="27" style="203" customWidth="1"/>
    <col min="1028" max="1028" width="15" style="203" customWidth="1"/>
    <col min="1029" max="1029" width="13.83203125" style="203" bestFit="1" customWidth="1"/>
    <col min="1030" max="1030" width="15.83203125" style="203" bestFit="1" customWidth="1"/>
    <col min="1031" max="1037" width="9.6640625" style="203" customWidth="1"/>
    <col min="1038" max="1038" width="9.1640625" style="203"/>
    <col min="1039" max="1039" width="12.83203125" style="203" bestFit="1" customWidth="1"/>
    <col min="1040" max="1280" width="9.1640625" style="203"/>
    <col min="1281" max="1282" width="2.6640625" style="203" customWidth="1"/>
    <col min="1283" max="1283" width="27" style="203" customWidth="1"/>
    <col min="1284" max="1284" width="15" style="203" customWidth="1"/>
    <col min="1285" max="1285" width="13.83203125" style="203" bestFit="1" customWidth="1"/>
    <col min="1286" max="1286" width="15.83203125" style="203" bestFit="1" customWidth="1"/>
    <col min="1287" max="1293" width="9.6640625" style="203" customWidth="1"/>
    <col min="1294" max="1294" width="9.1640625" style="203"/>
    <col min="1295" max="1295" width="12.83203125" style="203" bestFit="1" customWidth="1"/>
    <col min="1296" max="1536" width="9.1640625" style="203"/>
    <col min="1537" max="1538" width="2.6640625" style="203" customWidth="1"/>
    <col min="1539" max="1539" width="27" style="203" customWidth="1"/>
    <col min="1540" max="1540" width="15" style="203" customWidth="1"/>
    <col min="1541" max="1541" width="13.83203125" style="203" bestFit="1" customWidth="1"/>
    <col min="1542" max="1542" width="15.83203125" style="203" bestFit="1" customWidth="1"/>
    <col min="1543" max="1549" width="9.6640625" style="203" customWidth="1"/>
    <col min="1550" max="1550" width="9.1640625" style="203"/>
    <col min="1551" max="1551" width="12.83203125" style="203" bestFit="1" customWidth="1"/>
    <col min="1552" max="1792" width="9.1640625" style="203"/>
    <col min="1793" max="1794" width="2.6640625" style="203" customWidth="1"/>
    <col min="1795" max="1795" width="27" style="203" customWidth="1"/>
    <col min="1796" max="1796" width="15" style="203" customWidth="1"/>
    <col min="1797" max="1797" width="13.83203125" style="203" bestFit="1" customWidth="1"/>
    <col min="1798" max="1798" width="15.83203125" style="203" bestFit="1" customWidth="1"/>
    <col min="1799" max="1805" width="9.6640625" style="203" customWidth="1"/>
    <col min="1806" max="1806" width="9.1640625" style="203"/>
    <col min="1807" max="1807" width="12.83203125" style="203" bestFit="1" customWidth="1"/>
    <col min="1808" max="2048" width="9.1640625" style="203"/>
    <col min="2049" max="2050" width="2.6640625" style="203" customWidth="1"/>
    <col min="2051" max="2051" width="27" style="203" customWidth="1"/>
    <col min="2052" max="2052" width="15" style="203" customWidth="1"/>
    <col min="2053" max="2053" width="13.83203125" style="203" bestFit="1" customWidth="1"/>
    <col min="2054" max="2054" width="15.83203125" style="203" bestFit="1" customWidth="1"/>
    <col min="2055" max="2061" width="9.6640625" style="203" customWidth="1"/>
    <col min="2062" max="2062" width="9.1640625" style="203"/>
    <col min="2063" max="2063" width="12.83203125" style="203" bestFit="1" customWidth="1"/>
    <col min="2064" max="2304" width="9.1640625" style="203"/>
    <col min="2305" max="2306" width="2.6640625" style="203" customWidth="1"/>
    <col min="2307" max="2307" width="27" style="203" customWidth="1"/>
    <col min="2308" max="2308" width="15" style="203" customWidth="1"/>
    <col min="2309" max="2309" width="13.83203125" style="203" bestFit="1" customWidth="1"/>
    <col min="2310" max="2310" width="15.83203125" style="203" bestFit="1" customWidth="1"/>
    <col min="2311" max="2317" width="9.6640625" style="203" customWidth="1"/>
    <col min="2318" max="2318" width="9.1640625" style="203"/>
    <col min="2319" max="2319" width="12.83203125" style="203" bestFit="1" customWidth="1"/>
    <col min="2320" max="2560" width="9.1640625" style="203"/>
    <col min="2561" max="2562" width="2.6640625" style="203" customWidth="1"/>
    <col min="2563" max="2563" width="27" style="203" customWidth="1"/>
    <col min="2564" max="2564" width="15" style="203" customWidth="1"/>
    <col min="2565" max="2565" width="13.83203125" style="203" bestFit="1" customWidth="1"/>
    <col min="2566" max="2566" width="15.83203125" style="203" bestFit="1" customWidth="1"/>
    <col min="2567" max="2573" width="9.6640625" style="203" customWidth="1"/>
    <col min="2574" max="2574" width="9.1640625" style="203"/>
    <col min="2575" max="2575" width="12.83203125" style="203" bestFit="1" customWidth="1"/>
    <col min="2576" max="2816" width="9.1640625" style="203"/>
    <col min="2817" max="2818" width="2.6640625" style="203" customWidth="1"/>
    <col min="2819" max="2819" width="27" style="203" customWidth="1"/>
    <col min="2820" max="2820" width="15" style="203" customWidth="1"/>
    <col min="2821" max="2821" width="13.83203125" style="203" bestFit="1" customWidth="1"/>
    <col min="2822" max="2822" width="15.83203125" style="203" bestFit="1" customWidth="1"/>
    <col min="2823" max="2829" width="9.6640625" style="203" customWidth="1"/>
    <col min="2830" max="2830" width="9.1640625" style="203"/>
    <col min="2831" max="2831" width="12.83203125" style="203" bestFit="1" customWidth="1"/>
    <col min="2832" max="3072" width="9.1640625" style="203"/>
    <col min="3073" max="3074" width="2.6640625" style="203" customWidth="1"/>
    <col min="3075" max="3075" width="27" style="203" customWidth="1"/>
    <col min="3076" max="3076" width="15" style="203" customWidth="1"/>
    <col min="3077" max="3077" width="13.83203125" style="203" bestFit="1" customWidth="1"/>
    <col min="3078" max="3078" width="15.83203125" style="203" bestFit="1" customWidth="1"/>
    <col min="3079" max="3085" width="9.6640625" style="203" customWidth="1"/>
    <col min="3086" max="3086" width="9.1640625" style="203"/>
    <col min="3087" max="3087" width="12.83203125" style="203" bestFit="1" customWidth="1"/>
    <col min="3088" max="3328" width="9.1640625" style="203"/>
    <col min="3329" max="3330" width="2.6640625" style="203" customWidth="1"/>
    <col min="3331" max="3331" width="27" style="203" customWidth="1"/>
    <col min="3332" max="3332" width="15" style="203" customWidth="1"/>
    <col min="3333" max="3333" width="13.83203125" style="203" bestFit="1" customWidth="1"/>
    <col min="3334" max="3334" width="15.83203125" style="203" bestFit="1" customWidth="1"/>
    <col min="3335" max="3341" width="9.6640625" style="203" customWidth="1"/>
    <col min="3342" max="3342" width="9.1640625" style="203"/>
    <col min="3343" max="3343" width="12.83203125" style="203" bestFit="1" customWidth="1"/>
    <col min="3344" max="3584" width="9.1640625" style="203"/>
    <col min="3585" max="3586" width="2.6640625" style="203" customWidth="1"/>
    <col min="3587" max="3587" width="27" style="203" customWidth="1"/>
    <col min="3588" max="3588" width="15" style="203" customWidth="1"/>
    <col min="3589" max="3589" width="13.83203125" style="203" bestFit="1" customWidth="1"/>
    <col min="3590" max="3590" width="15.83203125" style="203" bestFit="1" customWidth="1"/>
    <col min="3591" max="3597" width="9.6640625" style="203" customWidth="1"/>
    <col min="3598" max="3598" width="9.1640625" style="203"/>
    <col min="3599" max="3599" width="12.83203125" style="203" bestFit="1" customWidth="1"/>
    <col min="3600" max="3840" width="9.1640625" style="203"/>
    <col min="3841" max="3842" width="2.6640625" style="203" customWidth="1"/>
    <col min="3843" max="3843" width="27" style="203" customWidth="1"/>
    <col min="3844" max="3844" width="15" style="203" customWidth="1"/>
    <col min="3845" max="3845" width="13.83203125" style="203" bestFit="1" customWidth="1"/>
    <col min="3846" max="3846" width="15.83203125" style="203" bestFit="1" customWidth="1"/>
    <col min="3847" max="3853" width="9.6640625" style="203" customWidth="1"/>
    <col min="3854" max="3854" width="9.1640625" style="203"/>
    <col min="3855" max="3855" width="12.83203125" style="203" bestFit="1" customWidth="1"/>
    <col min="3856" max="4096" width="9.1640625" style="203"/>
    <col min="4097" max="4098" width="2.6640625" style="203" customWidth="1"/>
    <col min="4099" max="4099" width="27" style="203" customWidth="1"/>
    <col min="4100" max="4100" width="15" style="203" customWidth="1"/>
    <col min="4101" max="4101" width="13.83203125" style="203" bestFit="1" customWidth="1"/>
    <col min="4102" max="4102" width="15.83203125" style="203" bestFit="1" customWidth="1"/>
    <col min="4103" max="4109" width="9.6640625" style="203" customWidth="1"/>
    <col min="4110" max="4110" width="9.1640625" style="203"/>
    <col min="4111" max="4111" width="12.83203125" style="203" bestFit="1" customWidth="1"/>
    <col min="4112" max="4352" width="9.1640625" style="203"/>
    <col min="4353" max="4354" width="2.6640625" style="203" customWidth="1"/>
    <col min="4355" max="4355" width="27" style="203" customWidth="1"/>
    <col min="4356" max="4356" width="15" style="203" customWidth="1"/>
    <col min="4357" max="4357" width="13.83203125" style="203" bestFit="1" customWidth="1"/>
    <col min="4358" max="4358" width="15.83203125" style="203" bestFit="1" customWidth="1"/>
    <col min="4359" max="4365" width="9.6640625" style="203" customWidth="1"/>
    <col min="4366" max="4366" width="9.1640625" style="203"/>
    <col min="4367" max="4367" width="12.83203125" style="203" bestFit="1" customWidth="1"/>
    <col min="4368" max="4608" width="9.1640625" style="203"/>
    <col min="4609" max="4610" width="2.6640625" style="203" customWidth="1"/>
    <col min="4611" max="4611" width="27" style="203" customWidth="1"/>
    <col min="4612" max="4612" width="15" style="203" customWidth="1"/>
    <col min="4613" max="4613" width="13.83203125" style="203" bestFit="1" customWidth="1"/>
    <col min="4614" max="4614" width="15.83203125" style="203" bestFit="1" customWidth="1"/>
    <col min="4615" max="4621" width="9.6640625" style="203" customWidth="1"/>
    <col min="4622" max="4622" width="9.1640625" style="203"/>
    <col min="4623" max="4623" width="12.83203125" style="203" bestFit="1" customWidth="1"/>
    <col min="4624" max="4864" width="9.1640625" style="203"/>
    <col min="4865" max="4866" width="2.6640625" style="203" customWidth="1"/>
    <col min="4867" max="4867" width="27" style="203" customWidth="1"/>
    <col min="4868" max="4868" width="15" style="203" customWidth="1"/>
    <col min="4869" max="4869" width="13.83203125" style="203" bestFit="1" customWidth="1"/>
    <col min="4870" max="4870" width="15.83203125" style="203" bestFit="1" customWidth="1"/>
    <col min="4871" max="4877" width="9.6640625" style="203" customWidth="1"/>
    <col min="4878" max="4878" width="9.1640625" style="203"/>
    <col min="4879" max="4879" width="12.83203125" style="203" bestFit="1" customWidth="1"/>
    <col min="4880" max="5120" width="9.1640625" style="203"/>
    <col min="5121" max="5122" width="2.6640625" style="203" customWidth="1"/>
    <col min="5123" max="5123" width="27" style="203" customWidth="1"/>
    <col min="5124" max="5124" width="15" style="203" customWidth="1"/>
    <col min="5125" max="5125" width="13.83203125" style="203" bestFit="1" customWidth="1"/>
    <col min="5126" max="5126" width="15.83203125" style="203" bestFit="1" customWidth="1"/>
    <col min="5127" max="5133" width="9.6640625" style="203" customWidth="1"/>
    <col min="5134" max="5134" width="9.1640625" style="203"/>
    <col min="5135" max="5135" width="12.83203125" style="203" bestFit="1" customWidth="1"/>
    <col min="5136" max="5376" width="9.1640625" style="203"/>
    <col min="5377" max="5378" width="2.6640625" style="203" customWidth="1"/>
    <col min="5379" max="5379" width="27" style="203" customWidth="1"/>
    <col min="5380" max="5380" width="15" style="203" customWidth="1"/>
    <col min="5381" max="5381" width="13.83203125" style="203" bestFit="1" customWidth="1"/>
    <col min="5382" max="5382" width="15.83203125" style="203" bestFit="1" customWidth="1"/>
    <col min="5383" max="5389" width="9.6640625" style="203" customWidth="1"/>
    <col min="5390" max="5390" width="9.1640625" style="203"/>
    <col min="5391" max="5391" width="12.83203125" style="203" bestFit="1" customWidth="1"/>
    <col min="5392" max="5632" width="9.1640625" style="203"/>
    <col min="5633" max="5634" width="2.6640625" style="203" customWidth="1"/>
    <col min="5635" max="5635" width="27" style="203" customWidth="1"/>
    <col min="5636" max="5636" width="15" style="203" customWidth="1"/>
    <col min="5637" max="5637" width="13.83203125" style="203" bestFit="1" customWidth="1"/>
    <col min="5638" max="5638" width="15.83203125" style="203" bestFit="1" customWidth="1"/>
    <col min="5639" max="5645" width="9.6640625" style="203" customWidth="1"/>
    <col min="5646" max="5646" width="9.1640625" style="203"/>
    <col min="5647" max="5647" width="12.83203125" style="203" bestFit="1" customWidth="1"/>
    <col min="5648" max="5888" width="9.1640625" style="203"/>
    <col min="5889" max="5890" width="2.6640625" style="203" customWidth="1"/>
    <col min="5891" max="5891" width="27" style="203" customWidth="1"/>
    <col min="5892" max="5892" width="15" style="203" customWidth="1"/>
    <col min="5893" max="5893" width="13.83203125" style="203" bestFit="1" customWidth="1"/>
    <col min="5894" max="5894" width="15.83203125" style="203" bestFit="1" customWidth="1"/>
    <col min="5895" max="5901" width="9.6640625" style="203" customWidth="1"/>
    <col min="5902" max="5902" width="9.1640625" style="203"/>
    <col min="5903" max="5903" width="12.83203125" style="203" bestFit="1" customWidth="1"/>
    <col min="5904" max="6144" width="9.1640625" style="203"/>
    <col min="6145" max="6146" width="2.6640625" style="203" customWidth="1"/>
    <col min="6147" max="6147" width="27" style="203" customWidth="1"/>
    <col min="6148" max="6148" width="15" style="203" customWidth="1"/>
    <col min="6149" max="6149" width="13.83203125" style="203" bestFit="1" customWidth="1"/>
    <col min="6150" max="6150" width="15.83203125" style="203" bestFit="1" customWidth="1"/>
    <col min="6151" max="6157" width="9.6640625" style="203" customWidth="1"/>
    <col min="6158" max="6158" width="9.1640625" style="203"/>
    <col min="6159" max="6159" width="12.83203125" style="203" bestFit="1" customWidth="1"/>
    <col min="6160" max="6400" width="9.1640625" style="203"/>
    <col min="6401" max="6402" width="2.6640625" style="203" customWidth="1"/>
    <col min="6403" max="6403" width="27" style="203" customWidth="1"/>
    <col min="6404" max="6404" width="15" style="203" customWidth="1"/>
    <col min="6405" max="6405" width="13.83203125" style="203" bestFit="1" customWidth="1"/>
    <col min="6406" max="6406" width="15.83203125" style="203" bestFit="1" customWidth="1"/>
    <col min="6407" max="6413" width="9.6640625" style="203" customWidth="1"/>
    <col min="6414" max="6414" width="9.1640625" style="203"/>
    <col min="6415" max="6415" width="12.83203125" style="203" bestFit="1" customWidth="1"/>
    <col min="6416" max="6656" width="9.1640625" style="203"/>
    <col min="6657" max="6658" width="2.6640625" style="203" customWidth="1"/>
    <col min="6659" max="6659" width="27" style="203" customWidth="1"/>
    <col min="6660" max="6660" width="15" style="203" customWidth="1"/>
    <col min="6661" max="6661" width="13.83203125" style="203" bestFit="1" customWidth="1"/>
    <col min="6662" max="6662" width="15.83203125" style="203" bestFit="1" customWidth="1"/>
    <col min="6663" max="6669" width="9.6640625" style="203" customWidth="1"/>
    <col min="6670" max="6670" width="9.1640625" style="203"/>
    <col min="6671" max="6671" width="12.83203125" style="203" bestFit="1" customWidth="1"/>
    <col min="6672" max="6912" width="9.1640625" style="203"/>
    <col min="6913" max="6914" width="2.6640625" style="203" customWidth="1"/>
    <col min="6915" max="6915" width="27" style="203" customWidth="1"/>
    <col min="6916" max="6916" width="15" style="203" customWidth="1"/>
    <col min="6917" max="6917" width="13.83203125" style="203" bestFit="1" customWidth="1"/>
    <col min="6918" max="6918" width="15.83203125" style="203" bestFit="1" customWidth="1"/>
    <col min="6919" max="6925" width="9.6640625" style="203" customWidth="1"/>
    <col min="6926" max="6926" width="9.1640625" style="203"/>
    <col min="6927" max="6927" width="12.83203125" style="203" bestFit="1" customWidth="1"/>
    <col min="6928" max="7168" width="9.1640625" style="203"/>
    <col min="7169" max="7170" width="2.6640625" style="203" customWidth="1"/>
    <col min="7171" max="7171" width="27" style="203" customWidth="1"/>
    <col min="7172" max="7172" width="15" style="203" customWidth="1"/>
    <col min="7173" max="7173" width="13.83203125" style="203" bestFit="1" customWidth="1"/>
    <col min="7174" max="7174" width="15.83203125" style="203" bestFit="1" customWidth="1"/>
    <col min="7175" max="7181" width="9.6640625" style="203" customWidth="1"/>
    <col min="7182" max="7182" width="9.1640625" style="203"/>
    <col min="7183" max="7183" width="12.83203125" style="203" bestFit="1" customWidth="1"/>
    <col min="7184" max="7424" width="9.1640625" style="203"/>
    <col min="7425" max="7426" width="2.6640625" style="203" customWidth="1"/>
    <col min="7427" max="7427" width="27" style="203" customWidth="1"/>
    <col min="7428" max="7428" width="15" style="203" customWidth="1"/>
    <col min="7429" max="7429" width="13.83203125" style="203" bestFit="1" customWidth="1"/>
    <col min="7430" max="7430" width="15.83203125" style="203" bestFit="1" customWidth="1"/>
    <col min="7431" max="7437" width="9.6640625" style="203" customWidth="1"/>
    <col min="7438" max="7438" width="9.1640625" style="203"/>
    <col min="7439" max="7439" width="12.83203125" style="203" bestFit="1" customWidth="1"/>
    <col min="7440" max="7680" width="9.1640625" style="203"/>
    <col min="7681" max="7682" width="2.6640625" style="203" customWidth="1"/>
    <col min="7683" max="7683" width="27" style="203" customWidth="1"/>
    <col min="7684" max="7684" width="15" style="203" customWidth="1"/>
    <col min="7685" max="7685" width="13.83203125" style="203" bestFit="1" customWidth="1"/>
    <col min="7686" max="7686" width="15.83203125" style="203" bestFit="1" customWidth="1"/>
    <col min="7687" max="7693" width="9.6640625" style="203" customWidth="1"/>
    <col min="7694" max="7694" width="9.1640625" style="203"/>
    <col min="7695" max="7695" width="12.83203125" style="203" bestFit="1" customWidth="1"/>
    <col min="7696" max="7936" width="9.1640625" style="203"/>
    <col min="7937" max="7938" width="2.6640625" style="203" customWidth="1"/>
    <col min="7939" max="7939" width="27" style="203" customWidth="1"/>
    <col min="7940" max="7940" width="15" style="203" customWidth="1"/>
    <col min="7941" max="7941" width="13.83203125" style="203" bestFit="1" customWidth="1"/>
    <col min="7942" max="7942" width="15.83203125" style="203" bestFit="1" customWidth="1"/>
    <col min="7943" max="7949" width="9.6640625" style="203" customWidth="1"/>
    <col min="7950" max="7950" width="9.1640625" style="203"/>
    <col min="7951" max="7951" width="12.83203125" style="203" bestFit="1" customWidth="1"/>
    <col min="7952" max="8192" width="9.1640625" style="203"/>
    <col min="8193" max="8194" width="2.6640625" style="203" customWidth="1"/>
    <col min="8195" max="8195" width="27" style="203" customWidth="1"/>
    <col min="8196" max="8196" width="15" style="203" customWidth="1"/>
    <col min="8197" max="8197" width="13.83203125" style="203" bestFit="1" customWidth="1"/>
    <col min="8198" max="8198" width="15.83203125" style="203" bestFit="1" customWidth="1"/>
    <col min="8199" max="8205" width="9.6640625" style="203" customWidth="1"/>
    <col min="8206" max="8206" width="9.1640625" style="203"/>
    <col min="8207" max="8207" width="12.83203125" style="203" bestFit="1" customWidth="1"/>
    <col min="8208" max="8448" width="9.1640625" style="203"/>
    <col min="8449" max="8450" width="2.6640625" style="203" customWidth="1"/>
    <col min="8451" max="8451" width="27" style="203" customWidth="1"/>
    <col min="8452" max="8452" width="15" style="203" customWidth="1"/>
    <col min="8453" max="8453" width="13.83203125" style="203" bestFit="1" customWidth="1"/>
    <col min="8454" max="8454" width="15.83203125" style="203" bestFit="1" customWidth="1"/>
    <col min="8455" max="8461" width="9.6640625" style="203" customWidth="1"/>
    <col min="8462" max="8462" width="9.1640625" style="203"/>
    <col min="8463" max="8463" width="12.83203125" style="203" bestFit="1" customWidth="1"/>
    <col min="8464" max="8704" width="9.1640625" style="203"/>
    <col min="8705" max="8706" width="2.6640625" style="203" customWidth="1"/>
    <col min="8707" max="8707" width="27" style="203" customWidth="1"/>
    <col min="8708" max="8708" width="15" style="203" customWidth="1"/>
    <col min="8709" max="8709" width="13.83203125" style="203" bestFit="1" customWidth="1"/>
    <col min="8710" max="8710" width="15.83203125" style="203" bestFit="1" customWidth="1"/>
    <col min="8711" max="8717" width="9.6640625" style="203" customWidth="1"/>
    <col min="8718" max="8718" width="9.1640625" style="203"/>
    <col min="8719" max="8719" width="12.83203125" style="203" bestFit="1" customWidth="1"/>
    <col min="8720" max="8960" width="9.1640625" style="203"/>
    <col min="8961" max="8962" width="2.6640625" style="203" customWidth="1"/>
    <col min="8963" max="8963" width="27" style="203" customWidth="1"/>
    <col min="8964" max="8964" width="15" style="203" customWidth="1"/>
    <col min="8965" max="8965" width="13.83203125" style="203" bestFit="1" customWidth="1"/>
    <col min="8966" max="8966" width="15.83203125" style="203" bestFit="1" customWidth="1"/>
    <col min="8967" max="8973" width="9.6640625" style="203" customWidth="1"/>
    <col min="8974" max="8974" width="9.1640625" style="203"/>
    <col min="8975" max="8975" width="12.83203125" style="203" bestFit="1" customWidth="1"/>
    <col min="8976" max="9216" width="9.1640625" style="203"/>
    <col min="9217" max="9218" width="2.6640625" style="203" customWidth="1"/>
    <col min="9219" max="9219" width="27" style="203" customWidth="1"/>
    <col min="9220" max="9220" width="15" style="203" customWidth="1"/>
    <col min="9221" max="9221" width="13.83203125" style="203" bestFit="1" customWidth="1"/>
    <col min="9222" max="9222" width="15.83203125" style="203" bestFit="1" customWidth="1"/>
    <col min="9223" max="9229" width="9.6640625" style="203" customWidth="1"/>
    <col min="9230" max="9230" width="9.1640625" style="203"/>
    <col min="9231" max="9231" width="12.83203125" style="203" bestFit="1" customWidth="1"/>
    <col min="9232" max="9472" width="9.1640625" style="203"/>
    <col min="9473" max="9474" width="2.6640625" style="203" customWidth="1"/>
    <col min="9475" max="9475" width="27" style="203" customWidth="1"/>
    <col min="9476" max="9476" width="15" style="203" customWidth="1"/>
    <col min="9477" max="9477" width="13.83203125" style="203" bestFit="1" customWidth="1"/>
    <col min="9478" max="9478" width="15.83203125" style="203" bestFit="1" customWidth="1"/>
    <col min="9479" max="9485" width="9.6640625" style="203" customWidth="1"/>
    <col min="9486" max="9486" width="9.1640625" style="203"/>
    <col min="9487" max="9487" width="12.83203125" style="203" bestFit="1" customWidth="1"/>
    <col min="9488" max="9728" width="9.1640625" style="203"/>
    <col min="9729" max="9730" width="2.6640625" style="203" customWidth="1"/>
    <col min="9731" max="9731" width="27" style="203" customWidth="1"/>
    <col min="9732" max="9732" width="15" style="203" customWidth="1"/>
    <col min="9733" max="9733" width="13.83203125" style="203" bestFit="1" customWidth="1"/>
    <col min="9734" max="9734" width="15.83203125" style="203" bestFit="1" customWidth="1"/>
    <col min="9735" max="9741" width="9.6640625" style="203" customWidth="1"/>
    <col min="9742" max="9742" width="9.1640625" style="203"/>
    <col min="9743" max="9743" width="12.83203125" style="203" bestFit="1" customWidth="1"/>
    <col min="9744" max="9984" width="9.1640625" style="203"/>
    <col min="9985" max="9986" width="2.6640625" style="203" customWidth="1"/>
    <col min="9987" max="9987" width="27" style="203" customWidth="1"/>
    <col min="9988" max="9988" width="15" style="203" customWidth="1"/>
    <col min="9989" max="9989" width="13.83203125" style="203" bestFit="1" customWidth="1"/>
    <col min="9990" max="9990" width="15.83203125" style="203" bestFit="1" customWidth="1"/>
    <col min="9991" max="9997" width="9.6640625" style="203" customWidth="1"/>
    <col min="9998" max="9998" width="9.1640625" style="203"/>
    <col min="9999" max="9999" width="12.83203125" style="203" bestFit="1" customWidth="1"/>
    <col min="10000" max="10240" width="9.1640625" style="203"/>
    <col min="10241" max="10242" width="2.6640625" style="203" customWidth="1"/>
    <col min="10243" max="10243" width="27" style="203" customWidth="1"/>
    <col min="10244" max="10244" width="15" style="203" customWidth="1"/>
    <col min="10245" max="10245" width="13.83203125" style="203" bestFit="1" customWidth="1"/>
    <col min="10246" max="10246" width="15.83203125" style="203" bestFit="1" customWidth="1"/>
    <col min="10247" max="10253" width="9.6640625" style="203" customWidth="1"/>
    <col min="10254" max="10254" width="9.1640625" style="203"/>
    <col min="10255" max="10255" width="12.83203125" style="203" bestFit="1" customWidth="1"/>
    <col min="10256" max="10496" width="9.1640625" style="203"/>
    <col min="10497" max="10498" width="2.6640625" style="203" customWidth="1"/>
    <col min="10499" max="10499" width="27" style="203" customWidth="1"/>
    <col min="10500" max="10500" width="15" style="203" customWidth="1"/>
    <col min="10501" max="10501" width="13.83203125" style="203" bestFit="1" customWidth="1"/>
    <col min="10502" max="10502" width="15.83203125" style="203" bestFit="1" customWidth="1"/>
    <col min="10503" max="10509" width="9.6640625" style="203" customWidth="1"/>
    <col min="10510" max="10510" width="9.1640625" style="203"/>
    <col min="10511" max="10511" width="12.83203125" style="203" bestFit="1" customWidth="1"/>
    <col min="10512" max="10752" width="9.1640625" style="203"/>
    <col min="10753" max="10754" width="2.6640625" style="203" customWidth="1"/>
    <col min="10755" max="10755" width="27" style="203" customWidth="1"/>
    <col min="10756" max="10756" width="15" style="203" customWidth="1"/>
    <col min="10757" max="10757" width="13.83203125" style="203" bestFit="1" customWidth="1"/>
    <col min="10758" max="10758" width="15.83203125" style="203" bestFit="1" customWidth="1"/>
    <col min="10759" max="10765" width="9.6640625" style="203" customWidth="1"/>
    <col min="10766" max="10766" width="9.1640625" style="203"/>
    <col min="10767" max="10767" width="12.83203125" style="203" bestFit="1" customWidth="1"/>
    <col min="10768" max="11008" width="9.1640625" style="203"/>
    <col min="11009" max="11010" width="2.6640625" style="203" customWidth="1"/>
    <col min="11011" max="11011" width="27" style="203" customWidth="1"/>
    <col min="11012" max="11012" width="15" style="203" customWidth="1"/>
    <col min="11013" max="11013" width="13.83203125" style="203" bestFit="1" customWidth="1"/>
    <col min="11014" max="11014" width="15.83203125" style="203" bestFit="1" customWidth="1"/>
    <col min="11015" max="11021" width="9.6640625" style="203" customWidth="1"/>
    <col min="11022" max="11022" width="9.1640625" style="203"/>
    <col min="11023" max="11023" width="12.83203125" style="203" bestFit="1" customWidth="1"/>
    <col min="11024" max="11264" width="9.1640625" style="203"/>
    <col min="11265" max="11266" width="2.6640625" style="203" customWidth="1"/>
    <col min="11267" max="11267" width="27" style="203" customWidth="1"/>
    <col min="11268" max="11268" width="15" style="203" customWidth="1"/>
    <col min="11269" max="11269" width="13.83203125" style="203" bestFit="1" customWidth="1"/>
    <col min="11270" max="11270" width="15.83203125" style="203" bestFit="1" customWidth="1"/>
    <col min="11271" max="11277" width="9.6640625" style="203" customWidth="1"/>
    <col min="11278" max="11278" width="9.1640625" style="203"/>
    <col min="11279" max="11279" width="12.83203125" style="203" bestFit="1" customWidth="1"/>
    <col min="11280" max="11520" width="9.1640625" style="203"/>
    <col min="11521" max="11522" width="2.6640625" style="203" customWidth="1"/>
    <col min="11523" max="11523" width="27" style="203" customWidth="1"/>
    <col min="11524" max="11524" width="15" style="203" customWidth="1"/>
    <col min="11525" max="11525" width="13.83203125" style="203" bestFit="1" customWidth="1"/>
    <col min="11526" max="11526" width="15.83203125" style="203" bestFit="1" customWidth="1"/>
    <col min="11527" max="11533" width="9.6640625" style="203" customWidth="1"/>
    <col min="11534" max="11534" width="9.1640625" style="203"/>
    <col min="11535" max="11535" width="12.83203125" style="203" bestFit="1" customWidth="1"/>
    <col min="11536" max="11776" width="9.1640625" style="203"/>
    <col min="11777" max="11778" width="2.6640625" style="203" customWidth="1"/>
    <col min="11779" max="11779" width="27" style="203" customWidth="1"/>
    <col min="11780" max="11780" width="15" style="203" customWidth="1"/>
    <col min="11781" max="11781" width="13.83203125" style="203" bestFit="1" customWidth="1"/>
    <col min="11782" max="11782" width="15.83203125" style="203" bestFit="1" customWidth="1"/>
    <col min="11783" max="11789" width="9.6640625" style="203" customWidth="1"/>
    <col min="11790" max="11790" width="9.1640625" style="203"/>
    <col min="11791" max="11791" width="12.83203125" style="203" bestFit="1" customWidth="1"/>
    <col min="11792" max="12032" width="9.1640625" style="203"/>
    <col min="12033" max="12034" width="2.6640625" style="203" customWidth="1"/>
    <col min="12035" max="12035" width="27" style="203" customWidth="1"/>
    <col min="12036" max="12036" width="15" style="203" customWidth="1"/>
    <col min="12037" max="12037" width="13.83203125" style="203" bestFit="1" customWidth="1"/>
    <col min="12038" max="12038" width="15.83203125" style="203" bestFit="1" customWidth="1"/>
    <col min="12039" max="12045" width="9.6640625" style="203" customWidth="1"/>
    <col min="12046" max="12046" width="9.1640625" style="203"/>
    <col min="12047" max="12047" width="12.83203125" style="203" bestFit="1" customWidth="1"/>
    <col min="12048" max="12288" width="9.1640625" style="203"/>
    <col min="12289" max="12290" width="2.6640625" style="203" customWidth="1"/>
    <col min="12291" max="12291" width="27" style="203" customWidth="1"/>
    <col min="12292" max="12292" width="15" style="203" customWidth="1"/>
    <col min="12293" max="12293" width="13.83203125" style="203" bestFit="1" customWidth="1"/>
    <col min="12294" max="12294" width="15.83203125" style="203" bestFit="1" customWidth="1"/>
    <col min="12295" max="12301" width="9.6640625" style="203" customWidth="1"/>
    <col min="12302" max="12302" width="9.1640625" style="203"/>
    <col min="12303" max="12303" width="12.83203125" style="203" bestFit="1" customWidth="1"/>
    <col min="12304" max="12544" width="9.1640625" style="203"/>
    <col min="12545" max="12546" width="2.6640625" style="203" customWidth="1"/>
    <col min="12547" max="12547" width="27" style="203" customWidth="1"/>
    <col min="12548" max="12548" width="15" style="203" customWidth="1"/>
    <col min="12549" max="12549" width="13.83203125" style="203" bestFit="1" customWidth="1"/>
    <col min="12550" max="12550" width="15.83203125" style="203" bestFit="1" customWidth="1"/>
    <col min="12551" max="12557" width="9.6640625" style="203" customWidth="1"/>
    <col min="12558" max="12558" width="9.1640625" style="203"/>
    <col min="12559" max="12559" width="12.83203125" style="203" bestFit="1" customWidth="1"/>
    <col min="12560" max="12800" width="9.1640625" style="203"/>
    <col min="12801" max="12802" width="2.6640625" style="203" customWidth="1"/>
    <col min="12803" max="12803" width="27" style="203" customWidth="1"/>
    <col min="12804" max="12804" width="15" style="203" customWidth="1"/>
    <col min="12805" max="12805" width="13.83203125" style="203" bestFit="1" customWidth="1"/>
    <col min="12806" max="12806" width="15.83203125" style="203" bestFit="1" customWidth="1"/>
    <col min="12807" max="12813" width="9.6640625" style="203" customWidth="1"/>
    <col min="12814" max="12814" width="9.1640625" style="203"/>
    <col min="12815" max="12815" width="12.83203125" style="203" bestFit="1" customWidth="1"/>
    <col min="12816" max="13056" width="9.1640625" style="203"/>
    <col min="13057" max="13058" width="2.6640625" style="203" customWidth="1"/>
    <col min="13059" max="13059" width="27" style="203" customWidth="1"/>
    <col min="13060" max="13060" width="15" style="203" customWidth="1"/>
    <col min="13061" max="13061" width="13.83203125" style="203" bestFit="1" customWidth="1"/>
    <col min="13062" max="13062" width="15.83203125" style="203" bestFit="1" customWidth="1"/>
    <col min="13063" max="13069" width="9.6640625" style="203" customWidth="1"/>
    <col min="13070" max="13070" width="9.1640625" style="203"/>
    <col min="13071" max="13071" width="12.83203125" style="203" bestFit="1" customWidth="1"/>
    <col min="13072" max="13312" width="9.1640625" style="203"/>
    <col min="13313" max="13314" width="2.6640625" style="203" customWidth="1"/>
    <col min="13315" max="13315" width="27" style="203" customWidth="1"/>
    <col min="13316" max="13316" width="15" style="203" customWidth="1"/>
    <col min="13317" max="13317" width="13.83203125" style="203" bestFit="1" customWidth="1"/>
    <col min="13318" max="13318" width="15.83203125" style="203" bestFit="1" customWidth="1"/>
    <col min="13319" max="13325" width="9.6640625" style="203" customWidth="1"/>
    <col min="13326" max="13326" width="9.1640625" style="203"/>
    <col min="13327" max="13327" width="12.83203125" style="203" bestFit="1" customWidth="1"/>
    <col min="13328" max="13568" width="9.1640625" style="203"/>
    <col min="13569" max="13570" width="2.6640625" style="203" customWidth="1"/>
    <col min="13571" max="13571" width="27" style="203" customWidth="1"/>
    <col min="13572" max="13572" width="15" style="203" customWidth="1"/>
    <col min="13573" max="13573" width="13.83203125" style="203" bestFit="1" customWidth="1"/>
    <col min="13574" max="13574" width="15.83203125" style="203" bestFit="1" customWidth="1"/>
    <col min="13575" max="13581" width="9.6640625" style="203" customWidth="1"/>
    <col min="13582" max="13582" width="9.1640625" style="203"/>
    <col min="13583" max="13583" width="12.83203125" style="203" bestFit="1" customWidth="1"/>
    <col min="13584" max="13824" width="9.1640625" style="203"/>
    <col min="13825" max="13826" width="2.6640625" style="203" customWidth="1"/>
    <col min="13827" max="13827" width="27" style="203" customWidth="1"/>
    <col min="13828" max="13828" width="15" style="203" customWidth="1"/>
    <col min="13829" max="13829" width="13.83203125" style="203" bestFit="1" customWidth="1"/>
    <col min="13830" max="13830" width="15.83203125" style="203" bestFit="1" customWidth="1"/>
    <col min="13831" max="13837" width="9.6640625" style="203" customWidth="1"/>
    <col min="13838" max="13838" width="9.1640625" style="203"/>
    <col min="13839" max="13839" width="12.83203125" style="203" bestFit="1" customWidth="1"/>
    <col min="13840" max="14080" width="9.1640625" style="203"/>
    <col min="14081" max="14082" width="2.6640625" style="203" customWidth="1"/>
    <col min="14083" max="14083" width="27" style="203" customWidth="1"/>
    <col min="14084" max="14084" width="15" style="203" customWidth="1"/>
    <col min="14085" max="14085" width="13.83203125" style="203" bestFit="1" customWidth="1"/>
    <col min="14086" max="14086" width="15.83203125" style="203" bestFit="1" customWidth="1"/>
    <col min="14087" max="14093" width="9.6640625" style="203" customWidth="1"/>
    <col min="14094" max="14094" width="9.1640625" style="203"/>
    <col min="14095" max="14095" width="12.83203125" style="203" bestFit="1" customWidth="1"/>
    <col min="14096" max="14336" width="9.1640625" style="203"/>
    <col min="14337" max="14338" width="2.6640625" style="203" customWidth="1"/>
    <col min="14339" max="14339" width="27" style="203" customWidth="1"/>
    <col min="14340" max="14340" width="15" style="203" customWidth="1"/>
    <col min="14341" max="14341" width="13.83203125" style="203" bestFit="1" customWidth="1"/>
    <col min="14342" max="14342" width="15.83203125" style="203" bestFit="1" customWidth="1"/>
    <col min="14343" max="14349" width="9.6640625" style="203" customWidth="1"/>
    <col min="14350" max="14350" width="9.1640625" style="203"/>
    <col min="14351" max="14351" width="12.83203125" style="203" bestFit="1" customWidth="1"/>
    <col min="14352" max="14592" width="9.1640625" style="203"/>
    <col min="14593" max="14594" width="2.6640625" style="203" customWidth="1"/>
    <col min="14595" max="14595" width="27" style="203" customWidth="1"/>
    <col min="14596" max="14596" width="15" style="203" customWidth="1"/>
    <col min="14597" max="14597" width="13.83203125" style="203" bestFit="1" customWidth="1"/>
    <col min="14598" max="14598" width="15.83203125" style="203" bestFit="1" customWidth="1"/>
    <col min="14599" max="14605" width="9.6640625" style="203" customWidth="1"/>
    <col min="14606" max="14606" width="9.1640625" style="203"/>
    <col min="14607" max="14607" width="12.83203125" style="203" bestFit="1" customWidth="1"/>
    <col min="14608" max="14848" width="9.1640625" style="203"/>
    <col min="14849" max="14850" width="2.6640625" style="203" customWidth="1"/>
    <col min="14851" max="14851" width="27" style="203" customWidth="1"/>
    <col min="14852" max="14852" width="15" style="203" customWidth="1"/>
    <col min="14853" max="14853" width="13.83203125" style="203" bestFit="1" customWidth="1"/>
    <col min="14854" max="14854" width="15.83203125" style="203" bestFit="1" customWidth="1"/>
    <col min="14855" max="14861" width="9.6640625" style="203" customWidth="1"/>
    <col min="14862" max="14862" width="9.1640625" style="203"/>
    <col min="14863" max="14863" width="12.83203125" style="203" bestFit="1" customWidth="1"/>
    <col min="14864" max="15104" width="9.1640625" style="203"/>
    <col min="15105" max="15106" width="2.6640625" style="203" customWidth="1"/>
    <col min="15107" max="15107" width="27" style="203" customWidth="1"/>
    <col min="15108" max="15108" width="15" style="203" customWidth="1"/>
    <col min="15109" max="15109" width="13.83203125" style="203" bestFit="1" customWidth="1"/>
    <col min="15110" max="15110" width="15.83203125" style="203" bestFit="1" customWidth="1"/>
    <col min="15111" max="15117" width="9.6640625" style="203" customWidth="1"/>
    <col min="15118" max="15118" width="9.1640625" style="203"/>
    <col min="15119" max="15119" width="12.83203125" style="203" bestFit="1" customWidth="1"/>
    <col min="15120" max="15360" width="9.1640625" style="203"/>
    <col min="15361" max="15362" width="2.6640625" style="203" customWidth="1"/>
    <col min="15363" max="15363" width="27" style="203" customWidth="1"/>
    <col min="15364" max="15364" width="15" style="203" customWidth="1"/>
    <col min="15365" max="15365" width="13.83203125" style="203" bestFit="1" customWidth="1"/>
    <col min="15366" max="15366" width="15.83203125" style="203" bestFit="1" customWidth="1"/>
    <col min="15367" max="15373" width="9.6640625" style="203" customWidth="1"/>
    <col min="15374" max="15374" width="9.1640625" style="203"/>
    <col min="15375" max="15375" width="12.83203125" style="203" bestFit="1" customWidth="1"/>
    <col min="15376" max="15616" width="9.1640625" style="203"/>
    <col min="15617" max="15618" width="2.6640625" style="203" customWidth="1"/>
    <col min="15619" max="15619" width="27" style="203" customWidth="1"/>
    <col min="15620" max="15620" width="15" style="203" customWidth="1"/>
    <col min="15621" max="15621" width="13.83203125" style="203" bestFit="1" customWidth="1"/>
    <col min="15622" max="15622" width="15.83203125" style="203" bestFit="1" customWidth="1"/>
    <col min="15623" max="15629" width="9.6640625" style="203" customWidth="1"/>
    <col min="15630" max="15630" width="9.1640625" style="203"/>
    <col min="15631" max="15631" width="12.83203125" style="203" bestFit="1" customWidth="1"/>
    <col min="15632" max="15872" width="9.1640625" style="203"/>
    <col min="15873" max="15874" width="2.6640625" style="203" customWidth="1"/>
    <col min="15875" max="15875" width="27" style="203" customWidth="1"/>
    <col min="15876" max="15876" width="15" style="203" customWidth="1"/>
    <col min="15877" max="15877" width="13.83203125" style="203" bestFit="1" customWidth="1"/>
    <col min="15878" max="15878" width="15.83203125" style="203" bestFit="1" customWidth="1"/>
    <col min="15879" max="15885" width="9.6640625" style="203" customWidth="1"/>
    <col min="15886" max="15886" width="9.1640625" style="203"/>
    <col min="15887" max="15887" width="12.83203125" style="203" bestFit="1" customWidth="1"/>
    <col min="15888" max="16128" width="9.1640625" style="203"/>
    <col min="16129" max="16130" width="2.6640625" style="203" customWidth="1"/>
    <col min="16131" max="16131" width="27" style="203" customWidth="1"/>
    <col min="16132" max="16132" width="15" style="203" customWidth="1"/>
    <col min="16133" max="16133" width="13.83203125" style="203" bestFit="1" customWidth="1"/>
    <col min="16134" max="16134" width="15.83203125" style="203" bestFit="1" customWidth="1"/>
    <col min="16135" max="16141" width="9.6640625" style="203" customWidth="1"/>
    <col min="16142" max="16142" width="9.1640625" style="203"/>
    <col min="16143" max="16143" width="12.83203125" style="203" bestFit="1" customWidth="1"/>
    <col min="16144" max="16384" width="9.1640625" style="203"/>
  </cols>
  <sheetData>
    <row r="1" spans="1:16">
      <c r="A1" s="200"/>
      <c r="B1" s="200"/>
      <c r="C1" s="201"/>
      <c r="D1" s="201"/>
      <c r="E1" s="200"/>
      <c r="F1" s="200"/>
      <c r="G1" s="200"/>
      <c r="H1" s="200"/>
      <c r="I1" s="200"/>
      <c r="J1" s="200"/>
      <c r="K1" s="200"/>
      <c r="L1" s="202"/>
      <c r="M1" s="202"/>
      <c r="N1" s="202"/>
      <c r="O1" s="202"/>
      <c r="P1" s="202"/>
    </row>
    <row r="2" spans="1:16" ht="15">
      <c r="A2" s="204" t="s">
        <v>209</v>
      </c>
      <c r="B2" s="205"/>
      <c r="C2" s="204"/>
      <c r="D2" s="206"/>
      <c r="E2" s="206"/>
      <c r="F2" s="204"/>
      <c r="G2" s="204"/>
      <c r="H2" s="204"/>
      <c r="I2" s="204"/>
      <c r="J2" s="204"/>
      <c r="K2" s="204"/>
      <c r="L2" s="207"/>
      <c r="M2" s="207"/>
      <c r="N2" s="202"/>
      <c r="O2" s="202"/>
      <c r="P2" s="202"/>
    </row>
    <row r="3" spans="1:16" ht="15">
      <c r="A3" s="5" t="str">
        <f>'[1]Debt Schedule'!A3</f>
        <v>(in US$ millions except per share amounts)</v>
      </c>
      <c r="B3" s="208"/>
      <c r="C3" s="209"/>
      <c r="D3" s="369" t="s">
        <v>52</v>
      </c>
      <c r="E3" s="369"/>
      <c r="F3" s="210"/>
      <c r="G3" s="211" t="s">
        <v>2</v>
      </c>
      <c r="H3" s="370"/>
      <c r="I3" s="371"/>
      <c r="J3" s="370"/>
      <c r="K3" s="370"/>
      <c r="L3" s="207"/>
      <c r="M3" s="207"/>
      <c r="N3" s="202"/>
      <c r="O3" s="202"/>
      <c r="P3" s="202"/>
    </row>
    <row r="4" spans="1:16" ht="15">
      <c r="A4" s="212"/>
      <c r="B4" s="208"/>
      <c r="C4" s="209"/>
      <c r="D4" s="213"/>
      <c r="E4" s="213"/>
      <c r="F4" s="214"/>
      <c r="G4" s="214"/>
      <c r="H4" s="214"/>
      <c r="I4" s="214"/>
      <c r="J4" s="214"/>
      <c r="K4" s="214"/>
      <c r="L4" s="207"/>
      <c r="M4" s="207"/>
      <c r="N4" s="202"/>
      <c r="O4" s="202"/>
      <c r="P4" s="202"/>
    </row>
    <row r="5" spans="1:16" ht="15">
      <c r="A5" s="372" t="s">
        <v>210</v>
      </c>
      <c r="B5" s="373"/>
      <c r="C5" s="372"/>
      <c r="D5" s="374">
        <v>2022</v>
      </c>
      <c r="E5" s="374">
        <f t="shared" ref="E5:K5" si="0">D5+1</f>
        <v>2023</v>
      </c>
      <c r="F5" s="374">
        <f t="shared" si="0"/>
        <v>2024</v>
      </c>
      <c r="G5" s="375">
        <f t="shared" si="0"/>
        <v>2025</v>
      </c>
      <c r="H5" s="375">
        <f t="shared" si="0"/>
        <v>2026</v>
      </c>
      <c r="I5" s="375">
        <f t="shared" si="0"/>
        <v>2027</v>
      </c>
      <c r="J5" s="375">
        <f t="shared" si="0"/>
        <v>2028</v>
      </c>
      <c r="K5" s="375">
        <f t="shared" si="0"/>
        <v>2029</v>
      </c>
      <c r="L5" s="207"/>
      <c r="M5" s="207"/>
      <c r="N5" s="202"/>
      <c r="O5" s="202"/>
      <c r="P5" s="202"/>
    </row>
    <row r="6" spans="1:16" ht="15">
      <c r="A6" s="215" t="s">
        <v>211</v>
      </c>
      <c r="B6" s="202"/>
      <c r="C6" s="202"/>
      <c r="D6" s="216"/>
      <c r="E6" s="216"/>
      <c r="F6" s="216"/>
      <c r="G6" s="216"/>
      <c r="H6" s="216"/>
      <c r="I6" s="216"/>
      <c r="J6" s="216"/>
      <c r="K6" s="216"/>
      <c r="L6" s="207"/>
      <c r="M6" s="207"/>
      <c r="N6" s="202"/>
      <c r="O6" s="202"/>
      <c r="P6" s="202"/>
    </row>
    <row r="7" spans="1:16" ht="15">
      <c r="A7" s="215"/>
      <c r="B7" s="202" t="s">
        <v>123</v>
      </c>
      <c r="C7" s="202"/>
      <c r="D7" s="216"/>
      <c r="E7" s="216"/>
      <c r="F7" s="216"/>
      <c r="G7" s="216">
        <f>'Income Statement'!G23</f>
        <v>11028.289685877391</v>
      </c>
      <c r="H7" s="216">
        <f>'Income Statement'!H23</f>
        <v>13036.377645188764</v>
      </c>
      <c r="I7" s="216">
        <f>'Income Statement'!I23</f>
        <v>14160.031013581662</v>
      </c>
      <c r="J7" s="216">
        <f>'Income Statement'!J23</f>
        <v>15012.386348581849</v>
      </c>
      <c r="K7" s="216">
        <f>'Income Statement'!K23</f>
        <v>15546.955536742289</v>
      </c>
      <c r="L7" s="207"/>
      <c r="M7" s="207"/>
      <c r="N7" s="202"/>
      <c r="O7" s="202"/>
      <c r="P7" s="202"/>
    </row>
    <row r="8" spans="1:16" ht="15">
      <c r="A8" s="215"/>
      <c r="B8" s="202" t="s">
        <v>212</v>
      </c>
      <c r="C8" s="202"/>
      <c r="D8" s="216"/>
      <c r="E8" s="216"/>
      <c r="F8" s="216"/>
      <c r="G8" s="216">
        <f>'Cash Flow'!G8</f>
        <v>1048.9377793875517</v>
      </c>
      <c r="H8" s="216">
        <f>'Cash Flow'!H8</f>
        <v>1164.3297655568024</v>
      </c>
      <c r="I8" s="216">
        <f>'Cash Flow'!I8</f>
        <v>1282.5367677011823</v>
      </c>
      <c r="J8" s="216">
        <f>'Cash Flow'!J8</f>
        <v>1402.9755453587261</v>
      </c>
      <c r="K8" s="216">
        <f>'Cash Flow'!K8</f>
        <v>1525.020832955905</v>
      </c>
      <c r="L8" s="207"/>
      <c r="M8" s="207"/>
      <c r="N8" s="202"/>
      <c r="O8" s="202"/>
      <c r="P8" s="202"/>
    </row>
    <row r="9" spans="1:16" ht="15">
      <c r="A9" s="215"/>
      <c r="B9" s="202" t="s">
        <v>213</v>
      </c>
      <c r="C9" s="202"/>
      <c r="D9" s="216"/>
      <c r="E9" s="216"/>
      <c r="F9" s="216"/>
      <c r="G9" s="216">
        <v>0</v>
      </c>
      <c r="H9" s="216">
        <v>0</v>
      </c>
      <c r="I9" s="216">
        <v>0</v>
      </c>
      <c r="J9" s="216">
        <v>0</v>
      </c>
      <c r="K9" s="216">
        <v>0</v>
      </c>
      <c r="L9" s="207"/>
      <c r="M9" s="207"/>
      <c r="N9" s="202"/>
      <c r="O9" s="202"/>
      <c r="P9" s="202"/>
    </row>
    <row r="10" spans="1:16" ht="15">
      <c r="A10" s="215"/>
      <c r="B10" s="202" t="s">
        <v>214</v>
      </c>
      <c r="C10" s="202"/>
      <c r="D10" s="216"/>
      <c r="E10" s="216"/>
      <c r="F10" s="216"/>
      <c r="G10" s="216">
        <f>'Cash Flow'!G9+'Cash Flow'!G16</f>
        <v>684</v>
      </c>
      <c r="H10" s="216">
        <f>'Cash Flow'!H9+'Cash Flow'!H16</f>
        <v>684</v>
      </c>
      <c r="I10" s="216">
        <f>'Cash Flow'!I9+'Cash Flow'!I16</f>
        <v>684</v>
      </c>
      <c r="J10" s="216">
        <f>'Cash Flow'!J9+'Cash Flow'!J16</f>
        <v>684</v>
      </c>
      <c r="K10" s="216">
        <f>'Cash Flow'!K9+'Cash Flow'!K16</f>
        <v>684</v>
      </c>
      <c r="L10" s="207"/>
      <c r="M10" s="207"/>
      <c r="N10" s="202"/>
      <c r="O10" s="202"/>
      <c r="P10" s="202"/>
    </row>
    <row r="11" spans="1:16" ht="15">
      <c r="A11" s="215"/>
      <c r="B11" s="202" t="s">
        <v>215</v>
      </c>
      <c r="C11" s="202"/>
      <c r="D11" s="216"/>
      <c r="E11" s="216"/>
      <c r="F11" s="216"/>
      <c r="G11" s="216">
        <f ca="1">'Cash Flow'!G24</f>
        <v>-1683.965673201571</v>
      </c>
      <c r="H11" s="216">
        <f ca="1">'Cash Flow'!H24</f>
        <v>83.162582155326618</v>
      </c>
      <c r="I11" s="216">
        <f ca="1">'Cash Flow'!I24</f>
        <v>167.10337737118493</v>
      </c>
      <c r="J11" s="216">
        <f ca="1">'Cash Flow'!J24</f>
        <v>292.59597177784008</v>
      </c>
      <c r="K11" s="216">
        <f ca="1">'Cash Flow'!K24</f>
        <v>287.85525860922212</v>
      </c>
      <c r="L11" s="207"/>
      <c r="M11" s="207"/>
      <c r="N11" s="202"/>
      <c r="O11" s="202"/>
      <c r="P11" s="202"/>
    </row>
    <row r="12" spans="1:16" ht="15">
      <c r="A12" s="215"/>
      <c r="B12" s="202" t="s">
        <v>216</v>
      </c>
      <c r="C12" s="202"/>
      <c r="D12" s="216"/>
      <c r="E12" s="216"/>
      <c r="F12" s="216"/>
      <c r="G12" s="216">
        <f>'Cash Flow'!G31</f>
        <v>-2021.4254835213869</v>
      </c>
      <c r="H12" s="216">
        <f>'Cash Flow'!H31</f>
        <v>-2077.0557510465142</v>
      </c>
      <c r="I12" s="216">
        <f>'Cash Flow'!I31</f>
        <v>-2127.7260385988398</v>
      </c>
      <c r="J12" s="216">
        <f>'Cash Flow'!J31</f>
        <v>-2167.897997835787</v>
      </c>
      <c r="K12" s="216">
        <f>'Cash Flow'!K31</f>
        <v>-2196.8151767492186</v>
      </c>
      <c r="L12" s="207"/>
      <c r="M12" s="207"/>
      <c r="N12" s="202"/>
      <c r="O12" s="202"/>
      <c r="P12" s="202"/>
    </row>
    <row r="13" spans="1:16" ht="15">
      <c r="A13" s="215"/>
      <c r="B13" s="202" t="s">
        <v>217</v>
      </c>
      <c r="C13" s="202"/>
      <c r="D13" s="376"/>
      <c r="E13" s="376"/>
      <c r="F13" s="376"/>
      <c r="G13" s="376">
        <f>-G7*'Income Statement'!G34</f>
        <v>-2053.7935170780379</v>
      </c>
      <c r="H13" s="376">
        <f>-H7*'Income Statement'!H34</f>
        <v>-2427.7588507813707</v>
      </c>
      <c r="I13" s="376">
        <f>-I7*'Income Statement'!I34</f>
        <v>-2637.016321266889</v>
      </c>
      <c r="J13" s="376">
        <f>-J7*'Income Statement'!J34</f>
        <v>-2795.7500788242369</v>
      </c>
      <c r="K13" s="376">
        <f>-K7*'Income Statement'!K34</f>
        <v>-2895.3026626196665</v>
      </c>
      <c r="L13" s="207"/>
      <c r="M13" s="207"/>
      <c r="N13" s="202"/>
      <c r="O13" s="202"/>
      <c r="P13" s="202"/>
    </row>
    <row r="14" spans="1:16" s="218" customFormat="1" ht="15">
      <c r="A14" s="215" t="s">
        <v>218</v>
      </c>
      <c r="B14" s="215"/>
      <c r="C14" s="215"/>
      <c r="D14" s="217"/>
      <c r="E14" s="217"/>
      <c r="F14" s="217"/>
      <c r="G14" s="217">
        <f ca="1">SUM(G7:G13)</f>
        <v>7002.0427914639458</v>
      </c>
      <c r="H14" s="217">
        <f ca="1">SUM(H7:H13)</f>
        <v>10463.055391073009</v>
      </c>
      <c r="I14" s="217">
        <f ca="1">SUM(I7:I13)</f>
        <v>11528.9287987883</v>
      </c>
      <c r="J14" s="217">
        <f ca="1">SUM(J7:J13)</f>
        <v>12428.309789058389</v>
      </c>
      <c r="K14" s="217">
        <f ca="1">SUM(K7:K13)</f>
        <v>12951.713788938532</v>
      </c>
      <c r="L14" s="207"/>
      <c r="M14" s="207"/>
      <c r="N14" s="215"/>
      <c r="O14" s="215"/>
      <c r="P14" s="215"/>
    </row>
    <row r="15" spans="1:16" ht="15">
      <c r="A15" s="215" t="s">
        <v>219</v>
      </c>
      <c r="B15" s="215"/>
      <c r="C15" s="202"/>
      <c r="D15" s="202"/>
      <c r="E15" s="202"/>
      <c r="F15" s="202"/>
      <c r="G15" s="216"/>
      <c r="H15" s="216"/>
      <c r="I15" s="216"/>
      <c r="J15" s="216"/>
      <c r="K15" s="216"/>
      <c r="L15" s="207"/>
      <c r="M15" s="207"/>
      <c r="N15" s="202"/>
      <c r="O15" s="202"/>
      <c r="P15" s="202"/>
    </row>
    <row r="16" spans="1:16" ht="16" thickBot="1">
      <c r="A16" s="215"/>
      <c r="B16" s="202" t="s">
        <v>220</v>
      </c>
      <c r="C16" s="202"/>
      <c r="D16" s="202"/>
      <c r="E16" s="202"/>
      <c r="F16" s="219"/>
      <c r="G16" s="220">
        <v>0.5</v>
      </c>
      <c r="H16" s="220">
        <f>G16+1</f>
        <v>1.5</v>
      </c>
      <c r="I16" s="220">
        <f>H16+1</f>
        <v>2.5</v>
      </c>
      <c r="J16" s="220">
        <f>I16+1</f>
        <v>3.5</v>
      </c>
      <c r="K16" s="220">
        <f>J16+1</f>
        <v>4.5</v>
      </c>
      <c r="L16" s="207"/>
      <c r="M16" s="207"/>
      <c r="N16" s="202"/>
      <c r="O16" s="202"/>
      <c r="P16" s="202"/>
    </row>
    <row r="17" spans="1:16" ht="16" thickBot="1">
      <c r="A17" s="215"/>
      <c r="B17" s="202" t="s">
        <v>221</v>
      </c>
      <c r="C17" s="202"/>
      <c r="D17" s="202"/>
      <c r="E17" s="202"/>
      <c r="F17" s="221">
        <f>L27</f>
        <v>6.0778034821349025E-2</v>
      </c>
      <c r="G17" s="216">
        <f ca="1">G14/(1+$F$17)^G16</f>
        <v>6798.4905991936093</v>
      </c>
      <c r="H17" s="216">
        <f ca="1">H14/(1+$F$17)^H16</f>
        <v>9576.8293091854139</v>
      </c>
      <c r="I17" s="216">
        <f ca="1">I14/(1+$F$17)^I16</f>
        <v>9947.8141080893074</v>
      </c>
      <c r="J17" s="216">
        <f ca="1">J14/(1+$F$17)^J16</f>
        <v>10109.420368915971</v>
      </c>
      <c r="K17" s="216">
        <f ca="1">K14/(1+$F$17)^K16</f>
        <v>9931.5470880525463</v>
      </c>
      <c r="L17" s="207"/>
      <c r="M17" s="207"/>
      <c r="N17" s="202"/>
      <c r="O17" s="202"/>
      <c r="P17" s="202"/>
    </row>
    <row r="18" spans="1:16" ht="15">
      <c r="A18" s="215"/>
      <c r="B18" s="215" t="s">
        <v>222</v>
      </c>
      <c r="C18" s="202"/>
      <c r="D18" s="202"/>
      <c r="E18" s="202"/>
      <c r="F18" s="219"/>
      <c r="G18" s="217">
        <f ca="1">SUM(G17:K17)</f>
        <v>46364.101473436851</v>
      </c>
      <c r="H18" s="216"/>
      <c r="I18" s="216"/>
      <c r="J18" s="216"/>
      <c r="K18" s="216"/>
      <c r="L18" s="207"/>
      <c r="M18" s="207"/>
      <c r="N18" s="202"/>
      <c r="O18" s="202"/>
      <c r="P18" s="202"/>
    </row>
    <row r="19" spans="1:16" ht="15">
      <c r="A19" s="215"/>
      <c r="B19" s="215" t="s">
        <v>223</v>
      </c>
      <c r="C19" s="202"/>
      <c r="D19" s="202"/>
      <c r="E19" s="202"/>
      <c r="F19" s="219"/>
      <c r="G19" s="216"/>
      <c r="H19" s="216"/>
      <c r="I19" s="216"/>
      <c r="J19" s="222"/>
      <c r="K19" s="222"/>
      <c r="L19" s="207"/>
      <c r="M19" s="207"/>
      <c r="N19" s="202"/>
      <c r="O19" s="202"/>
      <c r="P19" s="202"/>
    </row>
    <row r="20" spans="1:16">
      <c r="A20" s="215"/>
      <c r="B20" s="223" t="s">
        <v>224</v>
      </c>
      <c r="C20" s="224"/>
      <c r="D20" s="224"/>
      <c r="E20" s="224"/>
      <c r="F20" s="225"/>
      <c r="G20" s="216"/>
      <c r="H20" s="216"/>
      <c r="I20" s="216"/>
      <c r="J20" s="223" t="s">
        <v>225</v>
      </c>
      <c r="K20" s="226"/>
      <c r="L20" s="226"/>
      <c r="M20" s="226"/>
      <c r="N20" s="226"/>
      <c r="O20" s="227"/>
      <c r="P20" s="228"/>
    </row>
    <row r="21" spans="1:16" ht="13" thickBot="1">
      <c r="A21" s="215"/>
      <c r="B21" s="229"/>
      <c r="C21" s="230" t="s">
        <v>226</v>
      </c>
      <c r="D21" s="202"/>
      <c r="E21" s="202"/>
      <c r="F21" s="231">
        <f>K7+K8</f>
        <v>17071.976369698194</v>
      </c>
      <c r="G21" s="202"/>
      <c r="H21" s="216"/>
      <c r="I21" s="202"/>
      <c r="J21" s="232" t="s">
        <v>227</v>
      </c>
      <c r="K21" s="202"/>
      <c r="L21" s="233">
        <v>4.385E-2</v>
      </c>
      <c r="M21" s="234" t="s">
        <v>363</v>
      </c>
      <c r="N21" s="202"/>
      <c r="O21" s="235">
        <f>'Balance Sheet'!F28+'Balance Sheet'!F31</f>
        <v>44522</v>
      </c>
      <c r="P21" s="202"/>
    </row>
    <row r="22" spans="1:16" ht="13" thickBot="1">
      <c r="A22" s="215"/>
      <c r="B22" s="229"/>
      <c r="C22" s="230" t="s">
        <v>228</v>
      </c>
      <c r="D22" s="202"/>
      <c r="E22" s="202"/>
      <c r="F22" s="236">
        <f>(O21+O23*62-'Balance Sheet'!F8)/'Income Statement'!F20</f>
        <v>27.246227523267372</v>
      </c>
      <c r="G22" s="216"/>
      <c r="H22" s="216"/>
      <c r="I22" s="202"/>
      <c r="J22" s="232" t="s">
        <v>229</v>
      </c>
      <c r="K22" s="202"/>
      <c r="L22" s="237">
        <v>4.4299999999999999E-2</v>
      </c>
      <c r="M22" s="232" t="s">
        <v>230</v>
      </c>
      <c r="N22" s="202"/>
      <c r="O22" s="238">
        <v>71.73</v>
      </c>
      <c r="P22" s="202"/>
    </row>
    <row r="23" spans="1:16">
      <c r="A23" s="215"/>
      <c r="B23" s="229"/>
      <c r="C23" s="230" t="s">
        <v>223</v>
      </c>
      <c r="D23" s="202"/>
      <c r="E23" s="202"/>
      <c r="F23" s="239">
        <f>F21*F22</f>
        <v>465146.95244064112</v>
      </c>
      <c r="G23" s="216"/>
      <c r="H23" s="216"/>
      <c r="I23" s="202"/>
      <c r="J23" s="232" t="s">
        <v>231</v>
      </c>
      <c r="K23" s="202"/>
      <c r="L23" s="240">
        <v>0.45</v>
      </c>
      <c r="M23" s="232" t="s">
        <v>232</v>
      </c>
      <c r="N23" s="202"/>
      <c r="O23" s="241">
        <f>'Income Statement'!F55</f>
        <v>4320</v>
      </c>
      <c r="P23" s="202"/>
    </row>
    <row r="24" spans="1:16">
      <c r="A24" s="215"/>
      <c r="B24" s="242"/>
      <c r="C24" s="243" t="s">
        <v>233</v>
      </c>
      <c r="D24" s="244"/>
      <c r="E24" s="244"/>
      <c r="F24" s="245">
        <f>F23/(1+F17)^K16</f>
        <v>356680.89461440849</v>
      </c>
      <c r="G24" s="217"/>
      <c r="H24" s="216"/>
      <c r="I24" s="202"/>
      <c r="J24" s="234" t="s">
        <v>234</v>
      </c>
      <c r="K24" s="202"/>
      <c r="L24" s="246">
        <f>L23*L22+L21</f>
        <v>6.3785000000000008E-2</v>
      </c>
      <c r="M24" s="234" t="s">
        <v>235</v>
      </c>
      <c r="N24" s="202"/>
      <c r="O24" s="235">
        <f>O22*O23</f>
        <v>309873.60000000003</v>
      </c>
      <c r="P24" s="202"/>
    </row>
    <row r="25" spans="1:16">
      <c r="A25" s="202"/>
      <c r="B25" s="223" t="s">
        <v>236</v>
      </c>
      <c r="C25" s="224"/>
      <c r="D25" s="224"/>
      <c r="E25" s="224"/>
      <c r="F25" s="225"/>
      <c r="G25" s="216"/>
      <c r="H25" s="216"/>
      <c r="I25" s="202"/>
      <c r="J25" s="234" t="s">
        <v>237</v>
      </c>
      <c r="K25" s="202"/>
      <c r="L25" s="233">
        <v>4.8968999999999999E-2</v>
      </c>
      <c r="M25" s="229"/>
      <c r="N25" s="202"/>
      <c r="O25" s="247"/>
      <c r="P25" s="202"/>
    </row>
    <row r="26" spans="1:16" ht="13" thickBot="1">
      <c r="A26" s="202"/>
      <c r="B26" s="248"/>
      <c r="C26" s="249" t="s">
        <v>211</v>
      </c>
      <c r="D26" s="250"/>
      <c r="E26" s="250"/>
      <c r="F26" s="251">
        <f ca="1">K14</f>
        <v>12951.713788938532</v>
      </c>
      <c r="G26" s="202"/>
      <c r="H26" s="216"/>
      <c r="I26" s="202"/>
      <c r="J26" s="229"/>
      <c r="K26" s="202"/>
      <c r="L26" s="202"/>
      <c r="M26" s="229"/>
      <c r="N26" s="202"/>
      <c r="O26" s="247"/>
      <c r="P26" s="202"/>
    </row>
    <row r="27" spans="1:16" ht="13" thickBot="1">
      <c r="A27" s="202"/>
      <c r="B27" s="229"/>
      <c r="C27" s="230" t="s">
        <v>238</v>
      </c>
      <c r="D27" s="202"/>
      <c r="E27" s="202"/>
      <c r="F27" s="252">
        <v>0.03</v>
      </c>
      <c r="G27" s="216"/>
      <c r="H27" s="216"/>
      <c r="I27" s="202"/>
      <c r="J27" s="253" t="s">
        <v>239</v>
      </c>
      <c r="K27" s="244"/>
      <c r="L27" s="254">
        <f>O21/(O21+O24)*L25*(1-'Income Statement'!G34)+O24/(O21+O24)*L24</f>
        <v>6.0778034821349025E-2</v>
      </c>
      <c r="M27" s="242"/>
      <c r="N27" s="244"/>
      <c r="O27" s="255"/>
      <c r="P27" s="202"/>
    </row>
    <row r="28" spans="1:16" ht="13">
      <c r="A28" s="202"/>
      <c r="B28" s="229"/>
      <c r="C28" s="230" t="s">
        <v>223</v>
      </c>
      <c r="D28" s="202"/>
      <c r="E28" s="202"/>
      <c r="F28" s="256">
        <f ca="1">F26*(1+F27)/(F17-F27)</f>
        <v>433434.59970853245</v>
      </c>
      <c r="G28" s="257"/>
      <c r="H28" s="216"/>
      <c r="I28" s="202"/>
      <c r="J28" s="202"/>
      <c r="K28" s="202"/>
      <c r="L28" s="202"/>
      <c r="M28" s="202"/>
      <c r="N28" s="202"/>
      <c r="O28" s="202"/>
      <c r="P28" s="202"/>
    </row>
    <row r="29" spans="1:16">
      <c r="A29" s="202"/>
      <c r="B29" s="242"/>
      <c r="C29" s="243" t="s">
        <v>233</v>
      </c>
      <c r="D29" s="244"/>
      <c r="E29" s="244"/>
      <c r="F29" s="258">
        <f ca="1">F28/(1+F17)^K16</f>
        <v>332363.43905876949</v>
      </c>
      <c r="G29" s="217"/>
      <c r="H29" s="216"/>
      <c r="I29" s="202"/>
      <c r="J29" s="202"/>
      <c r="K29" s="202"/>
      <c r="L29" s="202"/>
      <c r="M29" s="202"/>
      <c r="N29" s="202"/>
      <c r="O29" s="202"/>
      <c r="P29" s="202"/>
    </row>
    <row r="30" spans="1:16" s="202" customFormat="1">
      <c r="I30" s="268"/>
      <c r="J30" s="269"/>
      <c r="K30" s="543" t="s">
        <v>239</v>
      </c>
      <c r="L30" s="543"/>
      <c r="M30" s="543"/>
      <c r="N30" s="543"/>
      <c r="O30" s="543"/>
    </row>
    <row r="31" spans="1:16">
      <c r="A31" s="202"/>
      <c r="B31" s="223" t="s">
        <v>240</v>
      </c>
      <c r="C31" s="224"/>
      <c r="D31" s="224"/>
      <c r="E31" s="259" t="s">
        <v>241</v>
      </c>
      <c r="F31" s="260" t="s">
        <v>236</v>
      </c>
      <c r="G31" s="216"/>
      <c r="H31" s="216"/>
      <c r="I31" s="267"/>
      <c r="J31" s="272">
        <f ca="1">F38</f>
        <v>79.86887512319592</v>
      </c>
      <c r="K31" s="377">
        <f>L31+1%</f>
        <v>8.0834501274531873E-2</v>
      </c>
      <c r="L31" s="377">
        <f>M31+1%</f>
        <v>7.0834501274531878E-2</v>
      </c>
      <c r="M31" s="378">
        <v>6.0834501274531882E-2</v>
      </c>
      <c r="N31" s="379">
        <f>M31-1%</f>
        <v>5.0834501274531881E-2</v>
      </c>
      <c r="O31" s="379">
        <f t="shared" ref="O31" si="1">N31-1%</f>
        <v>4.0834501274531879E-2</v>
      </c>
      <c r="P31" s="202"/>
    </row>
    <row r="32" spans="1:16">
      <c r="A32" s="202"/>
      <c r="B32" s="229" t="s">
        <v>242</v>
      </c>
      <c r="C32" s="202"/>
      <c r="D32" s="202"/>
      <c r="E32" s="216">
        <f ca="1">G18</f>
        <v>46364.101473436851</v>
      </c>
      <c r="F32" s="231">
        <f ca="1">G18</f>
        <v>46364.101473436851</v>
      </c>
      <c r="G32" s="202"/>
      <c r="H32" s="202"/>
      <c r="I32" s="542" t="s">
        <v>243</v>
      </c>
      <c r="J32" s="270">
        <f>J33-0.5%</f>
        <v>1.9999999999999997E-2</v>
      </c>
      <c r="K32" s="271">
        <f t="dataTable" ref="K32:O36" dt2D="1" dtr="1" r1="L27" r2="F27" ca="1"/>
        <v>37.847635056345325</v>
      </c>
      <c r="L32" s="271">
        <v>46.88047963367265</v>
      </c>
      <c r="M32" s="271">
        <v>60.34329883304607</v>
      </c>
      <c r="N32" s="271">
        <v>82.54651636253675</v>
      </c>
      <c r="O32" s="271">
        <v>126.07613286252001</v>
      </c>
      <c r="P32" s="202"/>
    </row>
    <row r="33" spans="1:16">
      <c r="A33" s="202"/>
      <c r="B33" s="229" t="s">
        <v>244</v>
      </c>
      <c r="C33" s="202"/>
      <c r="D33" s="202"/>
      <c r="E33" s="261">
        <f>F24</f>
        <v>356680.89461440849</v>
      </c>
      <c r="F33" s="231">
        <f ca="1">F29</f>
        <v>332363.43905876949</v>
      </c>
      <c r="G33" s="202"/>
      <c r="H33" s="202"/>
      <c r="I33" s="542"/>
      <c r="J33" s="270">
        <f>J34-0.5%</f>
        <v>2.4999999999999998E-2</v>
      </c>
      <c r="K33" s="271">
        <v>41.209681474388923</v>
      </c>
      <c r="L33" s="271">
        <v>51.943785641381893</v>
      </c>
      <c r="M33" s="271">
        <v>68.67470199432762</v>
      </c>
      <c r="N33" s="271">
        <v>98.366511819231818</v>
      </c>
      <c r="O33" s="271">
        <v>165.57549833455221</v>
      </c>
      <c r="P33" s="262"/>
    </row>
    <row r="34" spans="1:16">
      <c r="A34" s="202"/>
      <c r="B34" s="234" t="s">
        <v>245</v>
      </c>
      <c r="C34" s="202"/>
      <c r="D34" s="202"/>
      <c r="E34" s="217">
        <f ca="1">SUM(E32:E33)</f>
        <v>403044.99608784536</v>
      </c>
      <c r="F34" s="263">
        <f ca="1">F32+F33</f>
        <v>378727.54053220636</v>
      </c>
      <c r="G34" s="202"/>
      <c r="H34" s="202"/>
      <c r="I34" s="542"/>
      <c r="J34" s="273">
        <v>0.03</v>
      </c>
      <c r="K34" s="271">
        <v>45.233098877442664</v>
      </c>
      <c r="L34" s="271">
        <v>58.247049491031831</v>
      </c>
      <c r="M34" s="279">
        <v>79.70807950800868</v>
      </c>
      <c r="N34" s="271">
        <v>121.77967941296937</v>
      </c>
      <c r="O34" s="271">
        <v>241.53188611999855</v>
      </c>
      <c r="P34" s="202"/>
    </row>
    <row r="35" spans="1:16">
      <c r="A35" s="202"/>
      <c r="B35" s="229" t="s">
        <v>246</v>
      </c>
      <c r="C35" s="202"/>
      <c r="D35" s="202"/>
      <c r="E35" s="216">
        <f>O21-'Balance Sheet'!F8</f>
        <v>33694</v>
      </c>
      <c r="F35" s="231">
        <f>E35</f>
        <v>33694</v>
      </c>
      <c r="G35" s="202"/>
      <c r="H35" s="202"/>
      <c r="I35" s="542"/>
      <c r="J35" s="270">
        <f>J34+0.5%</f>
        <v>3.4999999999999996E-2</v>
      </c>
      <c r="K35" s="271">
        <v>50.134330436028463</v>
      </c>
      <c r="L35" s="271">
        <v>66.309306385222811</v>
      </c>
      <c r="M35" s="271">
        <v>95.012248780521944</v>
      </c>
      <c r="N35" s="271">
        <v>159.97902005239359</v>
      </c>
      <c r="O35" s="271">
        <v>447.67315897351847</v>
      </c>
      <c r="P35" s="202"/>
    </row>
    <row r="36" spans="1:16">
      <c r="A36" s="202"/>
      <c r="B36" s="234" t="s">
        <v>235</v>
      </c>
      <c r="C36" s="215"/>
      <c r="D36" s="215"/>
      <c r="E36" s="217">
        <f ca="1">E34-E35</f>
        <v>369350.99608784536</v>
      </c>
      <c r="F36" s="263">
        <f ca="1">F34-F35</f>
        <v>345033.54053220636</v>
      </c>
      <c r="G36" s="202"/>
      <c r="H36" s="202"/>
      <c r="I36" s="542"/>
      <c r="J36" s="270">
        <f>J35+0.5%</f>
        <v>3.9999999999999994E-2</v>
      </c>
      <c r="K36" s="271">
        <v>56.235829269983867</v>
      </c>
      <c r="L36" s="271">
        <v>76.986250256968432</v>
      </c>
      <c r="M36" s="271">
        <v>117.66200750144743</v>
      </c>
      <c r="N36" s="271">
        <v>233.4354894432976</v>
      </c>
      <c r="O36" s="271">
        <v>3124.0476015625218</v>
      </c>
      <c r="P36" s="202"/>
    </row>
    <row r="37" spans="1:16">
      <c r="A37" s="202"/>
      <c r="B37" s="229" t="s">
        <v>247</v>
      </c>
      <c r="C37" s="202"/>
      <c r="D37" s="202"/>
      <c r="E37" s="216">
        <f>O23</f>
        <v>4320</v>
      </c>
      <c r="F37" s="231">
        <f>O23</f>
        <v>4320</v>
      </c>
      <c r="G37" s="202"/>
      <c r="H37" s="202"/>
      <c r="I37" s="202"/>
      <c r="J37" s="202"/>
      <c r="K37" s="202"/>
      <c r="L37" s="202"/>
      <c r="M37" s="202"/>
      <c r="N37" s="228"/>
      <c r="O37" s="228"/>
      <c r="P37" s="228"/>
    </row>
    <row r="38" spans="1:16">
      <c r="B38" s="253" t="s">
        <v>248</v>
      </c>
      <c r="C38" s="264"/>
      <c r="D38" s="264"/>
      <c r="E38" s="265">
        <f ca="1">E36/E37</f>
        <v>85.497915761075319</v>
      </c>
      <c r="F38" s="266">
        <f ca="1">F36/F37</f>
        <v>79.86887512319592</v>
      </c>
      <c r="G38" s="202"/>
      <c r="H38" s="202"/>
      <c r="I38" s="202"/>
      <c r="J38" s="202"/>
      <c r="K38" s="202"/>
      <c r="L38" s="202"/>
      <c r="M38" s="202"/>
      <c r="N38" s="202"/>
      <c r="O38" s="202"/>
      <c r="P38" s="202"/>
    </row>
    <row r="39" spans="1:16">
      <c r="A39" s="202"/>
      <c r="B39" s="202"/>
      <c r="C39" s="202"/>
      <c r="D39" s="202"/>
      <c r="E39" s="202"/>
      <c r="F39" s="202"/>
      <c r="G39" s="202"/>
      <c r="H39" s="202"/>
      <c r="I39" s="202"/>
      <c r="J39" s="202"/>
      <c r="K39" s="202"/>
      <c r="L39" s="202"/>
      <c r="M39" s="202"/>
      <c r="N39" s="202"/>
      <c r="O39" s="202"/>
      <c r="P39" s="202"/>
    </row>
    <row r="40" spans="1:16">
      <c r="I40" s="202"/>
      <c r="J40" s="202"/>
      <c r="K40" s="275">
        <f ca="1">E38</f>
        <v>85.497915761075319</v>
      </c>
      <c r="L40" s="202"/>
      <c r="M40" s="202"/>
      <c r="N40" s="202"/>
    </row>
    <row r="41" spans="1:16">
      <c r="I41" s="544" t="s">
        <v>249</v>
      </c>
      <c r="J41" s="276">
        <f>J42-3</f>
        <v>18.2</v>
      </c>
      <c r="K41" s="274">
        <f t="dataTable" ref="K41:K46" dt2D="0" dtr="0" r1="F22" ca="1"/>
        <v>58.084873975876107</v>
      </c>
      <c r="L41" s="202"/>
      <c r="N41" s="202"/>
    </row>
    <row r="42" spans="1:16">
      <c r="I42" s="544"/>
      <c r="J42" s="276">
        <f>J43-3</f>
        <v>21.2</v>
      </c>
      <c r="K42" s="274">
        <v>67.175859709329558</v>
      </c>
      <c r="L42" s="202"/>
      <c r="N42" s="202"/>
    </row>
    <row r="43" spans="1:16">
      <c r="I43" s="544"/>
      <c r="J43" s="276">
        <f>J44-3</f>
        <v>24.2</v>
      </c>
      <c r="K43" s="274">
        <v>76.266845442783008</v>
      </c>
      <c r="L43" s="202"/>
      <c r="N43" s="202"/>
    </row>
    <row r="44" spans="1:16">
      <c r="I44" s="544"/>
      <c r="J44" s="277">
        <v>27.2</v>
      </c>
      <c r="K44" s="278">
        <v>85.357831176236445</v>
      </c>
      <c r="L44" s="202"/>
      <c r="N44" s="202"/>
    </row>
    <row r="45" spans="1:16">
      <c r="I45" s="544"/>
      <c r="J45" s="276">
        <f>J44+2</f>
        <v>29.2</v>
      </c>
      <c r="K45" s="274">
        <v>91.418488331872084</v>
      </c>
      <c r="L45" s="202"/>
      <c r="N45" s="202"/>
    </row>
    <row r="46" spans="1:16">
      <c r="I46" s="544"/>
      <c r="J46" s="276">
        <f>J45+2</f>
        <v>31.2</v>
      </c>
      <c r="K46" s="274">
        <v>97.479145487507708</v>
      </c>
      <c r="L46" s="202"/>
      <c r="N46" s="202"/>
    </row>
    <row r="47" spans="1:16">
      <c r="I47" s="202"/>
      <c r="J47" s="202"/>
      <c r="K47" s="202"/>
      <c r="L47" s="202"/>
      <c r="M47" s="202"/>
      <c r="N47" s="202"/>
    </row>
    <row r="48" spans="1:16">
      <c r="I48" s="202"/>
      <c r="J48" s="202"/>
      <c r="K48" s="202"/>
      <c r="L48" s="202"/>
      <c r="M48" s="202"/>
      <c r="N48" s="202"/>
    </row>
    <row r="49" spans="9:14">
      <c r="I49" s="202"/>
      <c r="J49" s="202"/>
      <c r="K49" s="202"/>
      <c r="L49" s="202"/>
      <c r="M49" s="202"/>
      <c r="N49" s="202"/>
    </row>
    <row r="50" spans="9:14">
      <c r="I50" s="202"/>
      <c r="J50" s="202"/>
      <c r="K50" s="202"/>
      <c r="L50" s="202"/>
      <c r="M50" s="202"/>
      <c r="N50" s="202"/>
    </row>
    <row r="51" spans="9:14">
      <c r="I51" s="202"/>
      <c r="J51" s="202"/>
      <c r="K51" s="202"/>
      <c r="L51" s="202"/>
      <c r="M51" s="202"/>
      <c r="N51" s="202"/>
    </row>
    <row r="52" spans="9:14">
      <c r="I52" s="202"/>
      <c r="J52" s="202"/>
      <c r="K52" s="202"/>
      <c r="L52" s="202"/>
      <c r="M52" s="202"/>
      <c r="N52" s="202"/>
    </row>
    <row r="53" spans="9:14">
      <c r="I53" s="202"/>
      <c r="J53" s="202"/>
      <c r="K53" s="202"/>
      <c r="L53" s="202"/>
      <c r="M53" s="202"/>
      <c r="N53" s="202"/>
    </row>
    <row r="54" spans="9:14">
      <c r="I54" s="202"/>
      <c r="J54" s="202"/>
      <c r="K54" s="202"/>
      <c r="L54" s="202"/>
      <c r="M54" s="202"/>
      <c r="N54" s="202"/>
    </row>
    <row r="55" spans="9:14">
      <c r="I55" s="202"/>
      <c r="J55" s="202"/>
      <c r="K55" s="202"/>
      <c r="L55" s="202"/>
      <c r="M55" s="202"/>
      <c r="N55" s="202"/>
    </row>
    <row r="56" spans="9:14">
      <c r="I56" s="202"/>
      <c r="J56" s="202"/>
      <c r="K56" s="202"/>
      <c r="L56" s="202"/>
      <c r="M56" s="202"/>
      <c r="N56" s="202"/>
    </row>
    <row r="57" spans="9:14">
      <c r="I57" s="202"/>
      <c r="J57" s="202"/>
      <c r="K57" s="202"/>
      <c r="L57" s="202"/>
      <c r="M57" s="202"/>
      <c r="N57" s="202"/>
    </row>
    <row r="58" spans="9:14">
      <c r="I58" s="202"/>
      <c r="J58" s="202"/>
      <c r="K58" s="202"/>
      <c r="L58" s="202"/>
      <c r="M58" s="202"/>
      <c r="N58" s="202"/>
    </row>
    <row r="59" spans="9:14">
      <c r="I59" s="202"/>
      <c r="J59" s="202"/>
      <c r="K59" s="202"/>
      <c r="L59" s="202"/>
      <c r="M59" s="202"/>
      <c r="N59" s="202"/>
    </row>
    <row r="60" spans="9:14">
      <c r="I60" s="202"/>
      <c r="J60" s="202"/>
      <c r="K60" s="202"/>
      <c r="L60" s="202"/>
      <c r="M60" s="202"/>
      <c r="N60" s="202"/>
    </row>
    <row r="61" spans="9:14">
      <c r="I61" s="202"/>
      <c r="J61" s="202"/>
      <c r="K61" s="202"/>
      <c r="L61" s="202"/>
      <c r="M61" s="202"/>
      <c r="N61" s="202"/>
    </row>
    <row r="62" spans="9:14">
      <c r="I62" s="202"/>
      <c r="J62" s="202"/>
      <c r="K62" s="202"/>
      <c r="L62" s="202"/>
      <c r="M62" s="202"/>
      <c r="N62" s="202"/>
    </row>
    <row r="63" spans="9:14">
      <c r="I63" s="202"/>
      <c r="J63" s="202"/>
      <c r="K63" s="202"/>
      <c r="L63" s="202"/>
      <c r="M63" s="202"/>
      <c r="N63" s="202"/>
    </row>
    <row r="64" spans="9:14">
      <c r="I64" s="202"/>
      <c r="J64" s="202"/>
      <c r="K64" s="202"/>
      <c r="L64" s="202"/>
      <c r="M64" s="202"/>
      <c r="N64" s="202"/>
    </row>
    <row r="65" spans="9:14">
      <c r="I65" s="202"/>
      <c r="J65" s="202"/>
      <c r="K65" s="202"/>
      <c r="L65" s="202"/>
      <c r="M65" s="202"/>
      <c r="N65" s="202"/>
    </row>
    <row r="66" spans="9:14">
      <c r="I66" s="202"/>
      <c r="J66" s="202"/>
      <c r="K66" s="202"/>
      <c r="L66" s="202"/>
      <c r="M66" s="202"/>
      <c r="N66" s="202"/>
    </row>
    <row r="67" spans="9:14">
      <c r="I67" s="202"/>
      <c r="J67" s="202"/>
      <c r="K67" s="202"/>
      <c r="L67" s="202"/>
      <c r="M67" s="202"/>
      <c r="N67" s="202"/>
    </row>
    <row r="68" spans="9:14">
      <c r="I68" s="202"/>
      <c r="J68" s="202"/>
      <c r="K68" s="202"/>
      <c r="L68" s="202"/>
      <c r="M68" s="202"/>
      <c r="N68" s="202"/>
    </row>
    <row r="69" spans="9:14">
      <c r="I69" s="202"/>
      <c r="J69" s="202"/>
      <c r="K69" s="202"/>
      <c r="L69" s="202"/>
      <c r="M69" s="202"/>
      <c r="N69" s="202"/>
    </row>
    <row r="70" spans="9:14">
      <c r="I70" s="202"/>
      <c r="J70" s="202"/>
      <c r="K70" s="202"/>
      <c r="L70" s="202"/>
      <c r="M70" s="202"/>
      <c r="N70" s="202"/>
    </row>
    <row r="71" spans="9:14">
      <c r="I71" s="202"/>
      <c r="J71" s="202"/>
      <c r="K71" s="202"/>
      <c r="L71" s="202"/>
      <c r="M71" s="202"/>
      <c r="N71" s="202"/>
    </row>
    <row r="72" spans="9:14">
      <c r="I72" s="202"/>
      <c r="J72" s="202"/>
      <c r="K72" s="202"/>
      <c r="L72" s="202"/>
      <c r="M72" s="202"/>
      <c r="N72" s="202"/>
    </row>
    <row r="73" spans="9:14">
      <c r="I73" s="202"/>
      <c r="J73" s="202"/>
      <c r="K73" s="202"/>
      <c r="L73" s="202"/>
      <c r="M73" s="202"/>
      <c r="N73" s="202"/>
    </row>
    <row r="74" spans="9:14">
      <c r="I74" s="202"/>
      <c r="J74" s="202"/>
      <c r="K74" s="202"/>
      <c r="L74" s="202"/>
      <c r="M74" s="202"/>
      <c r="N74" s="202"/>
    </row>
  </sheetData>
  <mergeCells count="3">
    <mergeCell ref="I32:I36"/>
    <mergeCell ref="K30:O30"/>
    <mergeCell ref="I41:I46"/>
  </mergeCells>
  <conditionalFormatting sqref="K32:O36">
    <cfRule type="cellIs" dxfId="0" priority="1" operator="greaterThan">
      <formula>73.3</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17CC8-442B-4F73-B9AE-313C1BD8890F}">
  <dimension ref="A1:X49"/>
  <sheetViews>
    <sheetView workbookViewId="0">
      <selection activeCell="L8" sqref="L8"/>
    </sheetView>
  </sheetViews>
  <sheetFormatPr baseColWidth="10" defaultColWidth="8.83203125" defaultRowHeight="15"/>
  <cols>
    <col min="1" max="1" width="18" style="407" customWidth="1"/>
    <col min="2" max="2" width="9.6640625" style="407" bestFit="1" customWidth="1"/>
    <col min="3" max="3" width="9.1640625" style="407"/>
    <col min="4" max="4" width="9.6640625" style="407" bestFit="1" customWidth="1"/>
    <col min="5" max="5" width="3.1640625" style="407" customWidth="1"/>
    <col min="6" max="7" width="9.1640625" style="407"/>
    <col min="8" max="8" width="9.6640625" style="407" bestFit="1" customWidth="1"/>
    <col min="9" max="9" width="9" style="407" customWidth="1"/>
    <col min="10" max="11" width="9.1640625" style="407"/>
    <col min="12" max="12" width="9.6640625" style="407" bestFit="1" customWidth="1"/>
    <col min="13" max="13" width="3.1640625" style="407" customWidth="1"/>
    <col min="14" max="14" width="10.6640625" style="407" bestFit="1" customWidth="1"/>
    <col min="15" max="15" width="9.1640625" style="407"/>
    <col min="16" max="16" width="11.6640625" style="407" bestFit="1" customWidth="1"/>
    <col min="17" max="17" width="3.1640625" style="407" customWidth="1"/>
    <col min="18" max="18" width="10.6640625" style="407" bestFit="1" customWidth="1"/>
    <col min="19" max="19" width="9.1640625" style="407"/>
    <col min="20" max="20" width="10.6640625" style="407" bestFit="1" customWidth="1"/>
    <col min="21" max="252" width="9.1640625" style="407"/>
    <col min="253" max="253" width="18" style="407" customWidth="1"/>
    <col min="254" max="254" width="9.6640625" style="407" bestFit="1" customWidth="1"/>
    <col min="255" max="255" width="9.1640625" style="407"/>
    <col min="256" max="256" width="9.6640625" style="407" bestFit="1" customWidth="1"/>
    <col min="257" max="257" width="3.1640625" style="407" customWidth="1"/>
    <col min="258" max="259" width="9.1640625" style="407"/>
    <col min="260" max="260" width="9.6640625" style="407" bestFit="1" customWidth="1"/>
    <col min="261" max="261" width="9" style="407" customWidth="1"/>
    <col min="262" max="263" width="9.1640625" style="407"/>
    <col min="264" max="264" width="9.6640625" style="407" bestFit="1" customWidth="1"/>
    <col min="265" max="265" width="2.33203125" style="407" customWidth="1"/>
    <col min="266" max="268" width="9.1640625" style="407"/>
    <col min="269" max="269" width="3.1640625" style="407" customWidth="1"/>
    <col min="270" max="270" width="9.6640625" style="407" bestFit="1" customWidth="1"/>
    <col min="271" max="271" width="9.1640625" style="407"/>
    <col min="272" max="272" width="9.6640625" style="407" bestFit="1" customWidth="1"/>
    <col min="273" max="273" width="3.1640625" style="407" customWidth="1"/>
    <col min="274" max="508" width="9.1640625" style="407"/>
    <col min="509" max="509" width="18" style="407" customWidth="1"/>
    <col min="510" max="510" width="9.6640625" style="407" bestFit="1" customWidth="1"/>
    <col min="511" max="511" width="9.1640625" style="407"/>
    <col min="512" max="512" width="9.6640625" style="407" bestFit="1" customWidth="1"/>
    <col min="513" max="513" width="3.1640625" style="407" customWidth="1"/>
    <col min="514" max="515" width="9.1640625" style="407"/>
    <col min="516" max="516" width="9.6640625" style="407" bestFit="1" customWidth="1"/>
    <col min="517" max="517" width="9" style="407" customWidth="1"/>
    <col min="518" max="519" width="9.1640625" style="407"/>
    <col min="520" max="520" width="9.6640625" style="407" bestFit="1" customWidth="1"/>
    <col min="521" max="521" width="2.33203125" style="407" customWidth="1"/>
    <col min="522" max="524" width="9.1640625" style="407"/>
    <col min="525" max="525" width="3.1640625" style="407" customWidth="1"/>
    <col min="526" max="526" width="9.6640625" style="407" bestFit="1" customWidth="1"/>
    <col min="527" max="527" width="9.1640625" style="407"/>
    <col min="528" max="528" width="9.6640625" style="407" bestFit="1" customWidth="1"/>
    <col min="529" max="529" width="3.1640625" style="407" customWidth="1"/>
    <col min="530" max="764" width="9.1640625" style="407"/>
    <col min="765" max="765" width="18" style="407" customWidth="1"/>
    <col min="766" max="766" width="9.6640625" style="407" bestFit="1" customWidth="1"/>
    <col min="767" max="767" width="9.1640625" style="407"/>
    <col min="768" max="768" width="9.6640625" style="407" bestFit="1" customWidth="1"/>
    <col min="769" max="769" width="3.1640625" style="407" customWidth="1"/>
    <col min="770" max="771" width="9.1640625" style="407"/>
    <col min="772" max="772" width="9.6640625" style="407" bestFit="1" customWidth="1"/>
    <col min="773" max="773" width="9" style="407" customWidth="1"/>
    <col min="774" max="775" width="9.1640625" style="407"/>
    <col min="776" max="776" width="9.6640625" style="407" bestFit="1" customWidth="1"/>
    <col min="777" max="777" width="2.33203125" style="407" customWidth="1"/>
    <col min="778" max="780" width="9.1640625" style="407"/>
    <col min="781" max="781" width="3.1640625" style="407" customWidth="1"/>
    <col min="782" max="782" width="9.6640625" style="407" bestFit="1" customWidth="1"/>
    <col min="783" max="783" width="9.1640625" style="407"/>
    <col min="784" max="784" width="9.6640625" style="407" bestFit="1" customWidth="1"/>
    <col min="785" max="785" width="3.1640625" style="407" customWidth="1"/>
    <col min="786" max="1020" width="9.1640625" style="407"/>
    <col min="1021" max="1021" width="18" style="407" customWidth="1"/>
    <col min="1022" max="1022" width="9.6640625" style="407" bestFit="1" customWidth="1"/>
    <col min="1023" max="1023" width="9.1640625" style="407"/>
    <col min="1024" max="1024" width="9.6640625" style="407" bestFit="1" customWidth="1"/>
    <col min="1025" max="1025" width="3.1640625" style="407" customWidth="1"/>
    <col min="1026" max="1027" width="9.1640625" style="407"/>
    <col min="1028" max="1028" width="9.6640625" style="407" bestFit="1" customWidth="1"/>
    <col min="1029" max="1029" width="9" style="407" customWidth="1"/>
    <col min="1030" max="1031" width="9.1640625" style="407"/>
    <col min="1032" max="1032" width="9.6640625" style="407" bestFit="1" customWidth="1"/>
    <col min="1033" max="1033" width="2.33203125" style="407" customWidth="1"/>
    <col min="1034" max="1036" width="9.1640625" style="407"/>
    <col min="1037" max="1037" width="3.1640625" style="407" customWidth="1"/>
    <col min="1038" max="1038" width="9.6640625" style="407" bestFit="1" customWidth="1"/>
    <col min="1039" max="1039" width="9.1640625" style="407"/>
    <col min="1040" max="1040" width="9.6640625" style="407" bestFit="1" customWidth="1"/>
    <col min="1041" max="1041" width="3.1640625" style="407" customWidth="1"/>
    <col min="1042" max="1276" width="9.1640625" style="407"/>
    <col min="1277" max="1277" width="18" style="407" customWidth="1"/>
    <col min="1278" max="1278" width="9.6640625" style="407" bestFit="1" customWidth="1"/>
    <col min="1279" max="1279" width="9.1640625" style="407"/>
    <col min="1280" max="1280" width="9.6640625" style="407" bestFit="1" customWidth="1"/>
    <col min="1281" max="1281" width="3.1640625" style="407" customWidth="1"/>
    <col min="1282" max="1283" width="9.1640625" style="407"/>
    <col min="1284" max="1284" width="9.6640625" style="407" bestFit="1" customWidth="1"/>
    <col min="1285" max="1285" width="9" style="407" customWidth="1"/>
    <col min="1286" max="1287" width="9.1640625" style="407"/>
    <col min="1288" max="1288" width="9.6640625" style="407" bestFit="1" customWidth="1"/>
    <col min="1289" max="1289" width="2.33203125" style="407" customWidth="1"/>
    <col min="1290" max="1292" width="9.1640625" style="407"/>
    <col min="1293" max="1293" width="3.1640625" style="407" customWidth="1"/>
    <col min="1294" max="1294" width="9.6640625" style="407" bestFit="1" customWidth="1"/>
    <col min="1295" max="1295" width="9.1640625" style="407"/>
    <col min="1296" max="1296" width="9.6640625" style="407" bestFit="1" customWidth="1"/>
    <col min="1297" max="1297" width="3.1640625" style="407" customWidth="1"/>
    <col min="1298" max="1532" width="9.1640625" style="407"/>
    <col min="1533" max="1533" width="18" style="407" customWidth="1"/>
    <col min="1534" max="1534" width="9.6640625" style="407" bestFit="1" customWidth="1"/>
    <col min="1535" max="1535" width="9.1640625" style="407"/>
    <col min="1536" max="1536" width="9.6640625" style="407" bestFit="1" customWidth="1"/>
    <col min="1537" max="1537" width="3.1640625" style="407" customWidth="1"/>
    <col min="1538" max="1539" width="9.1640625" style="407"/>
    <col min="1540" max="1540" width="9.6640625" style="407" bestFit="1" customWidth="1"/>
    <col min="1541" max="1541" width="9" style="407" customWidth="1"/>
    <col min="1542" max="1543" width="9.1640625" style="407"/>
    <col min="1544" max="1544" width="9.6640625" style="407" bestFit="1" customWidth="1"/>
    <col min="1545" max="1545" width="2.33203125" style="407" customWidth="1"/>
    <col min="1546" max="1548" width="9.1640625" style="407"/>
    <col min="1549" max="1549" width="3.1640625" style="407" customWidth="1"/>
    <col min="1550" max="1550" width="9.6640625" style="407" bestFit="1" customWidth="1"/>
    <col min="1551" max="1551" width="9.1640625" style="407"/>
    <col min="1552" max="1552" width="9.6640625" style="407" bestFit="1" customWidth="1"/>
    <col min="1553" max="1553" width="3.1640625" style="407" customWidth="1"/>
    <col min="1554" max="1788" width="9.1640625" style="407"/>
    <col min="1789" max="1789" width="18" style="407" customWidth="1"/>
    <col min="1790" max="1790" width="9.6640625" style="407" bestFit="1" customWidth="1"/>
    <col min="1791" max="1791" width="9.1640625" style="407"/>
    <col min="1792" max="1792" width="9.6640625" style="407" bestFit="1" customWidth="1"/>
    <col min="1793" max="1793" width="3.1640625" style="407" customWidth="1"/>
    <col min="1794" max="1795" width="9.1640625" style="407"/>
    <col min="1796" max="1796" width="9.6640625" style="407" bestFit="1" customWidth="1"/>
    <col min="1797" max="1797" width="9" style="407" customWidth="1"/>
    <col min="1798" max="1799" width="9.1640625" style="407"/>
    <col min="1800" max="1800" width="9.6640625" style="407" bestFit="1" customWidth="1"/>
    <col min="1801" max="1801" width="2.33203125" style="407" customWidth="1"/>
    <col min="1802" max="1804" width="9.1640625" style="407"/>
    <col min="1805" max="1805" width="3.1640625" style="407" customWidth="1"/>
    <col min="1806" max="1806" width="9.6640625" style="407" bestFit="1" customWidth="1"/>
    <col min="1807" max="1807" width="9.1640625" style="407"/>
    <col min="1808" max="1808" width="9.6640625" style="407" bestFit="1" customWidth="1"/>
    <col min="1809" max="1809" width="3.1640625" style="407" customWidth="1"/>
    <col min="1810" max="2044" width="9.1640625" style="407"/>
    <col min="2045" max="2045" width="18" style="407" customWidth="1"/>
    <col min="2046" max="2046" width="9.6640625" style="407" bestFit="1" customWidth="1"/>
    <col min="2047" max="2047" width="9.1640625" style="407"/>
    <col min="2048" max="2048" width="9.6640625" style="407" bestFit="1" customWidth="1"/>
    <col min="2049" max="2049" width="3.1640625" style="407" customWidth="1"/>
    <col min="2050" max="2051" width="9.1640625" style="407"/>
    <col min="2052" max="2052" width="9.6640625" style="407" bestFit="1" customWidth="1"/>
    <col min="2053" max="2053" width="9" style="407" customWidth="1"/>
    <col min="2054" max="2055" width="9.1640625" style="407"/>
    <col min="2056" max="2056" width="9.6640625" style="407" bestFit="1" customWidth="1"/>
    <col min="2057" max="2057" width="2.33203125" style="407" customWidth="1"/>
    <col min="2058" max="2060" width="9.1640625" style="407"/>
    <col min="2061" max="2061" width="3.1640625" style="407" customWidth="1"/>
    <col min="2062" max="2062" width="9.6640625" style="407" bestFit="1" customWidth="1"/>
    <col min="2063" max="2063" width="9.1640625" style="407"/>
    <col min="2064" max="2064" width="9.6640625" style="407" bestFit="1" customWidth="1"/>
    <col min="2065" max="2065" width="3.1640625" style="407" customWidth="1"/>
    <col min="2066" max="2300" width="9.1640625" style="407"/>
    <col min="2301" max="2301" width="18" style="407" customWidth="1"/>
    <col min="2302" max="2302" width="9.6640625" style="407" bestFit="1" customWidth="1"/>
    <col min="2303" max="2303" width="9.1640625" style="407"/>
    <col min="2304" max="2304" width="9.6640625" style="407" bestFit="1" customWidth="1"/>
    <col min="2305" max="2305" width="3.1640625" style="407" customWidth="1"/>
    <col min="2306" max="2307" width="9.1640625" style="407"/>
    <col min="2308" max="2308" width="9.6640625" style="407" bestFit="1" customWidth="1"/>
    <col min="2309" max="2309" width="9" style="407" customWidth="1"/>
    <col min="2310" max="2311" width="9.1640625" style="407"/>
    <col min="2312" max="2312" width="9.6640625" style="407" bestFit="1" customWidth="1"/>
    <col min="2313" max="2313" width="2.33203125" style="407" customWidth="1"/>
    <col min="2314" max="2316" width="9.1640625" style="407"/>
    <col min="2317" max="2317" width="3.1640625" style="407" customWidth="1"/>
    <col min="2318" max="2318" width="9.6640625" style="407" bestFit="1" customWidth="1"/>
    <col min="2319" max="2319" width="9.1640625" style="407"/>
    <col min="2320" max="2320" width="9.6640625" style="407" bestFit="1" customWidth="1"/>
    <col min="2321" max="2321" width="3.1640625" style="407" customWidth="1"/>
    <col min="2322" max="2556" width="9.1640625" style="407"/>
    <col min="2557" max="2557" width="18" style="407" customWidth="1"/>
    <col min="2558" max="2558" width="9.6640625" style="407" bestFit="1" customWidth="1"/>
    <col min="2559" max="2559" width="9.1640625" style="407"/>
    <col min="2560" max="2560" width="9.6640625" style="407" bestFit="1" customWidth="1"/>
    <col min="2561" max="2561" width="3.1640625" style="407" customWidth="1"/>
    <col min="2562" max="2563" width="9.1640625" style="407"/>
    <col min="2564" max="2564" width="9.6640625" style="407" bestFit="1" customWidth="1"/>
    <col min="2565" max="2565" width="9" style="407" customWidth="1"/>
    <col min="2566" max="2567" width="9.1640625" style="407"/>
    <col min="2568" max="2568" width="9.6640625" style="407" bestFit="1" customWidth="1"/>
    <col min="2569" max="2569" width="2.33203125" style="407" customWidth="1"/>
    <col min="2570" max="2572" width="9.1640625" style="407"/>
    <col min="2573" max="2573" width="3.1640625" style="407" customWidth="1"/>
    <col min="2574" max="2574" width="9.6640625" style="407" bestFit="1" customWidth="1"/>
    <col min="2575" max="2575" width="9.1640625" style="407"/>
    <col min="2576" max="2576" width="9.6640625" style="407" bestFit="1" customWidth="1"/>
    <col min="2577" max="2577" width="3.1640625" style="407" customWidth="1"/>
    <col min="2578" max="2812" width="9.1640625" style="407"/>
    <col min="2813" max="2813" width="18" style="407" customWidth="1"/>
    <col min="2814" max="2814" width="9.6640625" style="407" bestFit="1" customWidth="1"/>
    <col min="2815" max="2815" width="9.1640625" style="407"/>
    <col min="2816" max="2816" width="9.6640625" style="407" bestFit="1" customWidth="1"/>
    <col min="2817" max="2817" width="3.1640625" style="407" customWidth="1"/>
    <col min="2818" max="2819" width="9.1640625" style="407"/>
    <col min="2820" max="2820" width="9.6640625" style="407" bestFit="1" customWidth="1"/>
    <col min="2821" max="2821" width="9" style="407" customWidth="1"/>
    <col min="2822" max="2823" width="9.1640625" style="407"/>
    <col min="2824" max="2824" width="9.6640625" style="407" bestFit="1" customWidth="1"/>
    <col min="2825" max="2825" width="2.33203125" style="407" customWidth="1"/>
    <col min="2826" max="2828" width="9.1640625" style="407"/>
    <col min="2829" max="2829" width="3.1640625" style="407" customWidth="1"/>
    <col min="2830" max="2830" width="9.6640625" style="407" bestFit="1" customWidth="1"/>
    <col min="2831" max="2831" width="9.1640625" style="407"/>
    <col min="2832" max="2832" width="9.6640625" style="407" bestFit="1" customWidth="1"/>
    <col min="2833" max="2833" width="3.1640625" style="407" customWidth="1"/>
    <col min="2834" max="3068" width="9.1640625" style="407"/>
    <col min="3069" max="3069" width="18" style="407" customWidth="1"/>
    <col min="3070" max="3070" width="9.6640625" style="407" bestFit="1" customWidth="1"/>
    <col min="3071" max="3071" width="9.1640625" style="407"/>
    <col min="3072" max="3072" width="9.6640625" style="407" bestFit="1" customWidth="1"/>
    <col min="3073" max="3073" width="3.1640625" style="407" customWidth="1"/>
    <col min="3074" max="3075" width="9.1640625" style="407"/>
    <col min="3076" max="3076" width="9.6640625" style="407" bestFit="1" customWidth="1"/>
    <col min="3077" max="3077" width="9" style="407" customWidth="1"/>
    <col min="3078" max="3079" width="9.1640625" style="407"/>
    <col min="3080" max="3080" width="9.6640625" style="407" bestFit="1" customWidth="1"/>
    <col min="3081" max="3081" width="2.33203125" style="407" customWidth="1"/>
    <col min="3082" max="3084" width="9.1640625" style="407"/>
    <col min="3085" max="3085" width="3.1640625" style="407" customWidth="1"/>
    <col min="3086" max="3086" width="9.6640625" style="407" bestFit="1" customWidth="1"/>
    <col min="3087" max="3087" width="9.1640625" style="407"/>
    <col min="3088" max="3088" width="9.6640625" style="407" bestFit="1" customWidth="1"/>
    <col min="3089" max="3089" width="3.1640625" style="407" customWidth="1"/>
    <col min="3090" max="3324" width="9.1640625" style="407"/>
    <col min="3325" max="3325" width="18" style="407" customWidth="1"/>
    <col min="3326" max="3326" width="9.6640625" style="407" bestFit="1" customWidth="1"/>
    <col min="3327" max="3327" width="9.1640625" style="407"/>
    <col min="3328" max="3328" width="9.6640625" style="407" bestFit="1" customWidth="1"/>
    <col min="3329" max="3329" width="3.1640625" style="407" customWidth="1"/>
    <col min="3330" max="3331" width="9.1640625" style="407"/>
    <col min="3332" max="3332" width="9.6640625" style="407" bestFit="1" customWidth="1"/>
    <col min="3333" max="3333" width="9" style="407" customWidth="1"/>
    <col min="3334" max="3335" width="9.1640625" style="407"/>
    <col min="3336" max="3336" width="9.6640625" style="407" bestFit="1" customWidth="1"/>
    <col min="3337" max="3337" width="2.33203125" style="407" customWidth="1"/>
    <col min="3338" max="3340" width="9.1640625" style="407"/>
    <col min="3341" max="3341" width="3.1640625" style="407" customWidth="1"/>
    <col min="3342" max="3342" width="9.6640625" style="407" bestFit="1" customWidth="1"/>
    <col min="3343" max="3343" width="9.1640625" style="407"/>
    <col min="3344" max="3344" width="9.6640625" style="407" bestFit="1" customWidth="1"/>
    <col min="3345" max="3345" width="3.1640625" style="407" customWidth="1"/>
    <col min="3346" max="3580" width="9.1640625" style="407"/>
    <col min="3581" max="3581" width="18" style="407" customWidth="1"/>
    <col min="3582" max="3582" width="9.6640625" style="407" bestFit="1" customWidth="1"/>
    <col min="3583" max="3583" width="9.1640625" style="407"/>
    <col min="3584" max="3584" width="9.6640625" style="407" bestFit="1" customWidth="1"/>
    <col min="3585" max="3585" width="3.1640625" style="407" customWidth="1"/>
    <col min="3586" max="3587" width="9.1640625" style="407"/>
    <col min="3588" max="3588" width="9.6640625" style="407" bestFit="1" customWidth="1"/>
    <col min="3589" max="3589" width="9" style="407" customWidth="1"/>
    <col min="3590" max="3591" width="9.1640625" style="407"/>
    <col min="3592" max="3592" width="9.6640625" style="407" bestFit="1" customWidth="1"/>
    <col min="3593" max="3593" width="2.33203125" style="407" customWidth="1"/>
    <col min="3594" max="3596" width="9.1640625" style="407"/>
    <col min="3597" max="3597" width="3.1640625" style="407" customWidth="1"/>
    <col min="3598" max="3598" width="9.6640625" style="407" bestFit="1" customWidth="1"/>
    <col min="3599" max="3599" width="9.1640625" style="407"/>
    <col min="3600" max="3600" width="9.6640625" style="407" bestFit="1" customWidth="1"/>
    <col min="3601" max="3601" width="3.1640625" style="407" customWidth="1"/>
    <col min="3602" max="3836" width="9.1640625" style="407"/>
    <col min="3837" max="3837" width="18" style="407" customWidth="1"/>
    <col min="3838" max="3838" width="9.6640625" style="407" bestFit="1" customWidth="1"/>
    <col min="3839" max="3839" width="9.1640625" style="407"/>
    <col min="3840" max="3840" width="9.6640625" style="407" bestFit="1" customWidth="1"/>
    <col min="3841" max="3841" width="3.1640625" style="407" customWidth="1"/>
    <col min="3842" max="3843" width="9.1640625" style="407"/>
    <col min="3844" max="3844" width="9.6640625" style="407" bestFit="1" customWidth="1"/>
    <col min="3845" max="3845" width="9" style="407" customWidth="1"/>
    <col min="3846" max="3847" width="9.1640625" style="407"/>
    <col min="3848" max="3848" width="9.6640625" style="407" bestFit="1" customWidth="1"/>
    <col min="3849" max="3849" width="2.33203125" style="407" customWidth="1"/>
    <col min="3850" max="3852" width="9.1640625" style="407"/>
    <col min="3853" max="3853" width="3.1640625" style="407" customWidth="1"/>
    <col min="3854" max="3854" width="9.6640625" style="407" bestFit="1" customWidth="1"/>
    <col min="3855" max="3855" width="9.1640625" style="407"/>
    <col min="3856" max="3856" width="9.6640625" style="407" bestFit="1" customWidth="1"/>
    <col min="3857" max="3857" width="3.1640625" style="407" customWidth="1"/>
    <col min="3858" max="4092" width="9.1640625" style="407"/>
    <col min="4093" max="4093" width="18" style="407" customWidth="1"/>
    <col min="4094" max="4094" width="9.6640625" style="407" bestFit="1" customWidth="1"/>
    <col min="4095" max="4095" width="9.1640625" style="407"/>
    <col min="4096" max="4096" width="9.6640625" style="407" bestFit="1" customWidth="1"/>
    <col min="4097" max="4097" width="3.1640625" style="407" customWidth="1"/>
    <col min="4098" max="4099" width="9.1640625" style="407"/>
    <col min="4100" max="4100" width="9.6640625" style="407" bestFit="1" customWidth="1"/>
    <col min="4101" max="4101" width="9" style="407" customWidth="1"/>
    <col min="4102" max="4103" width="9.1640625" style="407"/>
    <col min="4104" max="4104" width="9.6640625" style="407" bestFit="1" customWidth="1"/>
    <col min="4105" max="4105" width="2.33203125" style="407" customWidth="1"/>
    <col min="4106" max="4108" width="9.1640625" style="407"/>
    <col min="4109" max="4109" width="3.1640625" style="407" customWidth="1"/>
    <col min="4110" max="4110" width="9.6640625" style="407" bestFit="1" customWidth="1"/>
    <col min="4111" max="4111" width="9.1640625" style="407"/>
    <col min="4112" max="4112" width="9.6640625" style="407" bestFit="1" customWidth="1"/>
    <col min="4113" max="4113" width="3.1640625" style="407" customWidth="1"/>
    <col min="4114" max="4348" width="9.1640625" style="407"/>
    <col min="4349" max="4349" width="18" style="407" customWidth="1"/>
    <col min="4350" max="4350" width="9.6640625" style="407" bestFit="1" customWidth="1"/>
    <col min="4351" max="4351" width="9.1640625" style="407"/>
    <col min="4352" max="4352" width="9.6640625" style="407" bestFit="1" customWidth="1"/>
    <col min="4353" max="4353" width="3.1640625" style="407" customWidth="1"/>
    <col min="4354" max="4355" width="9.1640625" style="407"/>
    <col min="4356" max="4356" width="9.6640625" style="407" bestFit="1" customWidth="1"/>
    <col min="4357" max="4357" width="9" style="407" customWidth="1"/>
    <col min="4358" max="4359" width="9.1640625" style="407"/>
    <col min="4360" max="4360" width="9.6640625" style="407" bestFit="1" customWidth="1"/>
    <col min="4361" max="4361" width="2.33203125" style="407" customWidth="1"/>
    <col min="4362" max="4364" width="9.1640625" style="407"/>
    <col min="4365" max="4365" width="3.1640625" style="407" customWidth="1"/>
    <col min="4366" max="4366" width="9.6640625" style="407" bestFit="1" customWidth="1"/>
    <col min="4367" max="4367" width="9.1640625" style="407"/>
    <col min="4368" max="4368" width="9.6640625" style="407" bestFit="1" customWidth="1"/>
    <col min="4369" max="4369" width="3.1640625" style="407" customWidth="1"/>
    <col min="4370" max="4604" width="9.1640625" style="407"/>
    <col min="4605" max="4605" width="18" style="407" customWidth="1"/>
    <col min="4606" max="4606" width="9.6640625" style="407" bestFit="1" customWidth="1"/>
    <col min="4607" max="4607" width="9.1640625" style="407"/>
    <col min="4608" max="4608" width="9.6640625" style="407" bestFit="1" customWidth="1"/>
    <col min="4609" max="4609" width="3.1640625" style="407" customWidth="1"/>
    <col min="4610" max="4611" width="9.1640625" style="407"/>
    <col min="4612" max="4612" width="9.6640625" style="407" bestFit="1" customWidth="1"/>
    <col min="4613" max="4613" width="9" style="407" customWidth="1"/>
    <col min="4614" max="4615" width="9.1640625" style="407"/>
    <col min="4616" max="4616" width="9.6640625" style="407" bestFit="1" customWidth="1"/>
    <col min="4617" max="4617" width="2.33203125" style="407" customWidth="1"/>
    <col min="4618" max="4620" width="9.1640625" style="407"/>
    <col min="4621" max="4621" width="3.1640625" style="407" customWidth="1"/>
    <col min="4622" max="4622" width="9.6640625" style="407" bestFit="1" customWidth="1"/>
    <col min="4623" max="4623" width="9.1640625" style="407"/>
    <col min="4624" max="4624" width="9.6640625" style="407" bestFit="1" customWidth="1"/>
    <col min="4625" max="4625" width="3.1640625" style="407" customWidth="1"/>
    <col min="4626" max="4860" width="9.1640625" style="407"/>
    <col min="4861" max="4861" width="18" style="407" customWidth="1"/>
    <col min="4862" max="4862" width="9.6640625" style="407" bestFit="1" customWidth="1"/>
    <col min="4863" max="4863" width="9.1640625" style="407"/>
    <col min="4864" max="4864" width="9.6640625" style="407" bestFit="1" customWidth="1"/>
    <col min="4865" max="4865" width="3.1640625" style="407" customWidth="1"/>
    <col min="4866" max="4867" width="9.1640625" style="407"/>
    <col min="4868" max="4868" width="9.6640625" style="407" bestFit="1" customWidth="1"/>
    <col min="4869" max="4869" width="9" style="407" customWidth="1"/>
    <col min="4870" max="4871" width="9.1640625" style="407"/>
    <col min="4872" max="4872" width="9.6640625" style="407" bestFit="1" customWidth="1"/>
    <col min="4873" max="4873" width="2.33203125" style="407" customWidth="1"/>
    <col min="4874" max="4876" width="9.1640625" style="407"/>
    <col min="4877" max="4877" width="3.1640625" style="407" customWidth="1"/>
    <col min="4878" max="4878" width="9.6640625" style="407" bestFit="1" customWidth="1"/>
    <col min="4879" max="4879" width="9.1640625" style="407"/>
    <col min="4880" max="4880" width="9.6640625" style="407" bestFit="1" customWidth="1"/>
    <col min="4881" max="4881" width="3.1640625" style="407" customWidth="1"/>
    <col min="4882" max="5116" width="9.1640625" style="407"/>
    <col min="5117" max="5117" width="18" style="407" customWidth="1"/>
    <col min="5118" max="5118" width="9.6640625" style="407" bestFit="1" customWidth="1"/>
    <col min="5119" max="5119" width="9.1640625" style="407"/>
    <col min="5120" max="5120" width="9.6640625" style="407" bestFit="1" customWidth="1"/>
    <col min="5121" max="5121" width="3.1640625" style="407" customWidth="1"/>
    <col min="5122" max="5123" width="9.1640625" style="407"/>
    <col min="5124" max="5124" width="9.6640625" style="407" bestFit="1" customWidth="1"/>
    <col min="5125" max="5125" width="9" style="407" customWidth="1"/>
    <col min="5126" max="5127" width="9.1640625" style="407"/>
    <col min="5128" max="5128" width="9.6640625" style="407" bestFit="1" customWidth="1"/>
    <col min="5129" max="5129" width="2.33203125" style="407" customWidth="1"/>
    <col min="5130" max="5132" width="9.1640625" style="407"/>
    <col min="5133" max="5133" width="3.1640625" style="407" customWidth="1"/>
    <col min="5134" max="5134" width="9.6640625" style="407" bestFit="1" customWidth="1"/>
    <col min="5135" max="5135" width="9.1640625" style="407"/>
    <col min="5136" max="5136" width="9.6640625" style="407" bestFit="1" customWidth="1"/>
    <col min="5137" max="5137" width="3.1640625" style="407" customWidth="1"/>
    <col min="5138" max="5372" width="9.1640625" style="407"/>
    <col min="5373" max="5373" width="18" style="407" customWidth="1"/>
    <col min="5374" max="5374" width="9.6640625" style="407" bestFit="1" customWidth="1"/>
    <col min="5375" max="5375" width="9.1640625" style="407"/>
    <col min="5376" max="5376" width="9.6640625" style="407" bestFit="1" customWidth="1"/>
    <col min="5377" max="5377" width="3.1640625" style="407" customWidth="1"/>
    <col min="5378" max="5379" width="9.1640625" style="407"/>
    <col min="5380" max="5380" width="9.6640625" style="407" bestFit="1" customWidth="1"/>
    <col min="5381" max="5381" width="9" style="407" customWidth="1"/>
    <col min="5382" max="5383" width="9.1640625" style="407"/>
    <col min="5384" max="5384" width="9.6640625" style="407" bestFit="1" customWidth="1"/>
    <col min="5385" max="5385" width="2.33203125" style="407" customWidth="1"/>
    <col min="5386" max="5388" width="9.1640625" style="407"/>
    <col min="5389" max="5389" width="3.1640625" style="407" customWidth="1"/>
    <col min="5390" max="5390" width="9.6640625" style="407" bestFit="1" customWidth="1"/>
    <col min="5391" max="5391" width="9.1640625" style="407"/>
    <col min="5392" max="5392" width="9.6640625" style="407" bestFit="1" customWidth="1"/>
    <col min="5393" max="5393" width="3.1640625" style="407" customWidth="1"/>
    <col min="5394" max="5628" width="9.1640625" style="407"/>
    <col min="5629" max="5629" width="18" style="407" customWidth="1"/>
    <col min="5630" max="5630" width="9.6640625" style="407" bestFit="1" customWidth="1"/>
    <col min="5631" max="5631" width="9.1640625" style="407"/>
    <col min="5632" max="5632" width="9.6640625" style="407" bestFit="1" customWidth="1"/>
    <col min="5633" max="5633" width="3.1640625" style="407" customWidth="1"/>
    <col min="5634" max="5635" width="9.1640625" style="407"/>
    <col min="5636" max="5636" width="9.6640625" style="407" bestFit="1" customWidth="1"/>
    <col min="5637" max="5637" width="9" style="407" customWidth="1"/>
    <col min="5638" max="5639" width="9.1640625" style="407"/>
    <col min="5640" max="5640" width="9.6640625" style="407" bestFit="1" customWidth="1"/>
    <col min="5641" max="5641" width="2.33203125" style="407" customWidth="1"/>
    <col min="5642" max="5644" width="9.1640625" style="407"/>
    <col min="5645" max="5645" width="3.1640625" style="407" customWidth="1"/>
    <col min="5646" max="5646" width="9.6640625" style="407" bestFit="1" customWidth="1"/>
    <col min="5647" max="5647" width="9.1640625" style="407"/>
    <col min="5648" max="5648" width="9.6640625" style="407" bestFit="1" customWidth="1"/>
    <col min="5649" max="5649" width="3.1640625" style="407" customWidth="1"/>
    <col min="5650" max="5884" width="9.1640625" style="407"/>
    <col min="5885" max="5885" width="18" style="407" customWidth="1"/>
    <col min="5886" max="5886" width="9.6640625" style="407" bestFit="1" customWidth="1"/>
    <col min="5887" max="5887" width="9.1640625" style="407"/>
    <col min="5888" max="5888" width="9.6640625" style="407" bestFit="1" customWidth="1"/>
    <col min="5889" max="5889" width="3.1640625" style="407" customWidth="1"/>
    <col min="5890" max="5891" width="9.1640625" style="407"/>
    <col min="5892" max="5892" width="9.6640625" style="407" bestFit="1" customWidth="1"/>
    <col min="5893" max="5893" width="9" style="407" customWidth="1"/>
    <col min="5894" max="5895" width="9.1640625" style="407"/>
    <col min="5896" max="5896" width="9.6640625" style="407" bestFit="1" customWidth="1"/>
    <col min="5897" max="5897" width="2.33203125" style="407" customWidth="1"/>
    <col min="5898" max="5900" width="9.1640625" style="407"/>
    <col min="5901" max="5901" width="3.1640625" style="407" customWidth="1"/>
    <col min="5902" max="5902" width="9.6640625" style="407" bestFit="1" customWidth="1"/>
    <col min="5903" max="5903" width="9.1640625" style="407"/>
    <col min="5904" max="5904" width="9.6640625" style="407" bestFit="1" customWidth="1"/>
    <col min="5905" max="5905" width="3.1640625" style="407" customWidth="1"/>
    <col min="5906" max="6140" width="9.1640625" style="407"/>
    <col min="6141" max="6141" width="18" style="407" customWidth="1"/>
    <col min="6142" max="6142" width="9.6640625" style="407" bestFit="1" customWidth="1"/>
    <col min="6143" max="6143" width="9.1640625" style="407"/>
    <col min="6144" max="6144" width="9.6640625" style="407" bestFit="1" customWidth="1"/>
    <col min="6145" max="6145" width="3.1640625" style="407" customWidth="1"/>
    <col min="6146" max="6147" width="9.1640625" style="407"/>
    <col min="6148" max="6148" width="9.6640625" style="407" bestFit="1" customWidth="1"/>
    <col min="6149" max="6149" width="9" style="407" customWidth="1"/>
    <col min="6150" max="6151" width="9.1640625" style="407"/>
    <col min="6152" max="6152" width="9.6640625" style="407" bestFit="1" customWidth="1"/>
    <col min="6153" max="6153" width="2.33203125" style="407" customWidth="1"/>
    <col min="6154" max="6156" width="9.1640625" style="407"/>
    <col min="6157" max="6157" width="3.1640625" style="407" customWidth="1"/>
    <col min="6158" max="6158" width="9.6640625" style="407" bestFit="1" customWidth="1"/>
    <col min="6159" max="6159" width="9.1640625" style="407"/>
    <col min="6160" max="6160" width="9.6640625" style="407" bestFit="1" customWidth="1"/>
    <col min="6161" max="6161" width="3.1640625" style="407" customWidth="1"/>
    <col min="6162" max="6396" width="9.1640625" style="407"/>
    <col min="6397" max="6397" width="18" style="407" customWidth="1"/>
    <col min="6398" max="6398" width="9.6640625" style="407" bestFit="1" customWidth="1"/>
    <col min="6399" max="6399" width="9.1640625" style="407"/>
    <col min="6400" max="6400" width="9.6640625" style="407" bestFit="1" customWidth="1"/>
    <col min="6401" max="6401" width="3.1640625" style="407" customWidth="1"/>
    <col min="6402" max="6403" width="9.1640625" style="407"/>
    <col min="6404" max="6404" width="9.6640625" style="407" bestFit="1" customWidth="1"/>
    <col min="6405" max="6405" width="9" style="407" customWidth="1"/>
    <col min="6406" max="6407" width="9.1640625" style="407"/>
    <col min="6408" max="6408" width="9.6640625" style="407" bestFit="1" customWidth="1"/>
    <col min="6409" max="6409" width="2.33203125" style="407" customWidth="1"/>
    <col min="6410" max="6412" width="9.1640625" style="407"/>
    <col min="6413" max="6413" width="3.1640625" style="407" customWidth="1"/>
    <col min="6414" max="6414" width="9.6640625" style="407" bestFit="1" customWidth="1"/>
    <col min="6415" max="6415" width="9.1640625" style="407"/>
    <col min="6416" max="6416" width="9.6640625" style="407" bestFit="1" customWidth="1"/>
    <col min="6417" max="6417" width="3.1640625" style="407" customWidth="1"/>
    <col min="6418" max="6652" width="9.1640625" style="407"/>
    <col min="6653" max="6653" width="18" style="407" customWidth="1"/>
    <col min="6654" max="6654" width="9.6640625" style="407" bestFit="1" customWidth="1"/>
    <col min="6655" max="6655" width="9.1640625" style="407"/>
    <col min="6656" max="6656" width="9.6640625" style="407" bestFit="1" customWidth="1"/>
    <col min="6657" max="6657" width="3.1640625" style="407" customWidth="1"/>
    <col min="6658" max="6659" width="9.1640625" style="407"/>
    <col min="6660" max="6660" width="9.6640625" style="407" bestFit="1" customWidth="1"/>
    <col min="6661" max="6661" width="9" style="407" customWidth="1"/>
    <col min="6662" max="6663" width="9.1640625" style="407"/>
    <col min="6664" max="6664" width="9.6640625" style="407" bestFit="1" customWidth="1"/>
    <col min="6665" max="6665" width="2.33203125" style="407" customWidth="1"/>
    <col min="6666" max="6668" width="9.1640625" style="407"/>
    <col min="6669" max="6669" width="3.1640625" style="407" customWidth="1"/>
    <col min="6670" max="6670" width="9.6640625" style="407" bestFit="1" customWidth="1"/>
    <col min="6671" max="6671" width="9.1640625" style="407"/>
    <col min="6672" max="6672" width="9.6640625" style="407" bestFit="1" customWidth="1"/>
    <col min="6673" max="6673" width="3.1640625" style="407" customWidth="1"/>
    <col min="6674" max="6908" width="9.1640625" style="407"/>
    <col min="6909" max="6909" width="18" style="407" customWidth="1"/>
    <col min="6910" max="6910" width="9.6640625" style="407" bestFit="1" customWidth="1"/>
    <col min="6911" max="6911" width="9.1640625" style="407"/>
    <col min="6912" max="6912" width="9.6640625" style="407" bestFit="1" customWidth="1"/>
    <col min="6913" max="6913" width="3.1640625" style="407" customWidth="1"/>
    <col min="6914" max="6915" width="9.1640625" style="407"/>
    <col min="6916" max="6916" width="9.6640625" style="407" bestFit="1" customWidth="1"/>
    <col min="6917" max="6917" width="9" style="407" customWidth="1"/>
    <col min="6918" max="6919" width="9.1640625" style="407"/>
    <col min="6920" max="6920" width="9.6640625" style="407" bestFit="1" customWidth="1"/>
    <col min="6921" max="6921" width="2.33203125" style="407" customWidth="1"/>
    <col min="6922" max="6924" width="9.1640625" style="407"/>
    <col min="6925" max="6925" width="3.1640625" style="407" customWidth="1"/>
    <col min="6926" max="6926" width="9.6640625" style="407" bestFit="1" customWidth="1"/>
    <col min="6927" max="6927" width="9.1640625" style="407"/>
    <col min="6928" max="6928" width="9.6640625" style="407" bestFit="1" customWidth="1"/>
    <col min="6929" max="6929" width="3.1640625" style="407" customWidth="1"/>
    <col min="6930" max="7164" width="9.1640625" style="407"/>
    <col min="7165" max="7165" width="18" style="407" customWidth="1"/>
    <col min="7166" max="7166" width="9.6640625" style="407" bestFit="1" customWidth="1"/>
    <col min="7167" max="7167" width="9.1640625" style="407"/>
    <col min="7168" max="7168" width="9.6640625" style="407" bestFit="1" customWidth="1"/>
    <col min="7169" max="7169" width="3.1640625" style="407" customWidth="1"/>
    <col min="7170" max="7171" width="9.1640625" style="407"/>
    <col min="7172" max="7172" width="9.6640625" style="407" bestFit="1" customWidth="1"/>
    <col min="7173" max="7173" width="9" style="407" customWidth="1"/>
    <col min="7174" max="7175" width="9.1640625" style="407"/>
    <col min="7176" max="7176" width="9.6640625" style="407" bestFit="1" customWidth="1"/>
    <col min="7177" max="7177" width="2.33203125" style="407" customWidth="1"/>
    <col min="7178" max="7180" width="9.1640625" style="407"/>
    <col min="7181" max="7181" width="3.1640625" style="407" customWidth="1"/>
    <col min="7182" max="7182" width="9.6640625" style="407" bestFit="1" customWidth="1"/>
    <col min="7183" max="7183" width="9.1640625" style="407"/>
    <col min="7184" max="7184" width="9.6640625" style="407" bestFit="1" customWidth="1"/>
    <col min="7185" max="7185" width="3.1640625" style="407" customWidth="1"/>
    <col min="7186" max="7420" width="9.1640625" style="407"/>
    <col min="7421" max="7421" width="18" style="407" customWidth="1"/>
    <col min="7422" max="7422" width="9.6640625" style="407" bestFit="1" customWidth="1"/>
    <col min="7423" max="7423" width="9.1640625" style="407"/>
    <col min="7424" max="7424" width="9.6640625" style="407" bestFit="1" customWidth="1"/>
    <col min="7425" max="7425" width="3.1640625" style="407" customWidth="1"/>
    <col min="7426" max="7427" width="9.1640625" style="407"/>
    <col min="7428" max="7428" width="9.6640625" style="407" bestFit="1" customWidth="1"/>
    <col min="7429" max="7429" width="9" style="407" customWidth="1"/>
    <col min="7430" max="7431" width="9.1640625" style="407"/>
    <col min="7432" max="7432" width="9.6640625" style="407" bestFit="1" customWidth="1"/>
    <col min="7433" max="7433" width="2.33203125" style="407" customWidth="1"/>
    <col min="7434" max="7436" width="9.1640625" style="407"/>
    <col min="7437" max="7437" width="3.1640625" style="407" customWidth="1"/>
    <col min="7438" max="7438" width="9.6640625" style="407" bestFit="1" customWidth="1"/>
    <col min="7439" max="7439" width="9.1640625" style="407"/>
    <col min="7440" max="7440" width="9.6640625" style="407" bestFit="1" customWidth="1"/>
    <col min="7441" max="7441" width="3.1640625" style="407" customWidth="1"/>
    <col min="7442" max="7676" width="9.1640625" style="407"/>
    <col min="7677" max="7677" width="18" style="407" customWidth="1"/>
    <col min="7678" max="7678" width="9.6640625" style="407" bestFit="1" customWidth="1"/>
    <col min="7679" max="7679" width="9.1640625" style="407"/>
    <col min="7680" max="7680" width="9.6640625" style="407" bestFit="1" customWidth="1"/>
    <col min="7681" max="7681" width="3.1640625" style="407" customWidth="1"/>
    <col min="7682" max="7683" width="9.1640625" style="407"/>
    <col min="7684" max="7684" width="9.6640625" style="407" bestFit="1" customWidth="1"/>
    <col min="7685" max="7685" width="9" style="407" customWidth="1"/>
    <col min="7686" max="7687" width="9.1640625" style="407"/>
    <col min="7688" max="7688" width="9.6640625" style="407" bestFit="1" customWidth="1"/>
    <col min="7689" max="7689" width="2.33203125" style="407" customWidth="1"/>
    <col min="7690" max="7692" width="9.1640625" style="407"/>
    <col min="7693" max="7693" width="3.1640625" style="407" customWidth="1"/>
    <col min="7694" max="7694" width="9.6640625" style="407" bestFit="1" customWidth="1"/>
    <col min="7695" max="7695" width="9.1640625" style="407"/>
    <col min="7696" max="7696" width="9.6640625" style="407" bestFit="1" customWidth="1"/>
    <col min="7697" max="7697" width="3.1640625" style="407" customWidth="1"/>
    <col min="7698" max="7932" width="9.1640625" style="407"/>
    <col min="7933" max="7933" width="18" style="407" customWidth="1"/>
    <col min="7934" max="7934" width="9.6640625" style="407" bestFit="1" customWidth="1"/>
    <col min="7935" max="7935" width="9.1640625" style="407"/>
    <col min="7936" max="7936" width="9.6640625" style="407" bestFit="1" customWidth="1"/>
    <col min="7937" max="7937" width="3.1640625" style="407" customWidth="1"/>
    <col min="7938" max="7939" width="9.1640625" style="407"/>
    <col min="7940" max="7940" width="9.6640625" style="407" bestFit="1" customWidth="1"/>
    <col min="7941" max="7941" width="9" style="407" customWidth="1"/>
    <col min="7942" max="7943" width="9.1640625" style="407"/>
    <col min="7944" max="7944" width="9.6640625" style="407" bestFit="1" customWidth="1"/>
    <col min="7945" max="7945" width="2.33203125" style="407" customWidth="1"/>
    <col min="7946" max="7948" width="9.1640625" style="407"/>
    <col min="7949" max="7949" width="3.1640625" style="407" customWidth="1"/>
    <col min="7950" max="7950" width="9.6640625" style="407" bestFit="1" customWidth="1"/>
    <col min="7951" max="7951" width="9.1640625" style="407"/>
    <col min="7952" max="7952" width="9.6640625" style="407" bestFit="1" customWidth="1"/>
    <col min="7953" max="7953" width="3.1640625" style="407" customWidth="1"/>
    <col min="7954" max="8188" width="9.1640625" style="407"/>
    <col min="8189" max="8189" width="18" style="407" customWidth="1"/>
    <col min="8190" max="8190" width="9.6640625" style="407" bestFit="1" customWidth="1"/>
    <col min="8191" max="8191" width="9.1640625" style="407"/>
    <col min="8192" max="8192" width="9.6640625" style="407" bestFit="1" customWidth="1"/>
    <col min="8193" max="8193" width="3.1640625" style="407" customWidth="1"/>
    <col min="8194" max="8195" width="9.1640625" style="407"/>
    <col min="8196" max="8196" width="9.6640625" style="407" bestFit="1" customWidth="1"/>
    <col min="8197" max="8197" width="9" style="407" customWidth="1"/>
    <col min="8198" max="8199" width="9.1640625" style="407"/>
    <col min="8200" max="8200" width="9.6640625" style="407" bestFit="1" customWidth="1"/>
    <col min="8201" max="8201" width="2.33203125" style="407" customWidth="1"/>
    <col min="8202" max="8204" width="9.1640625" style="407"/>
    <col min="8205" max="8205" width="3.1640625" style="407" customWidth="1"/>
    <col min="8206" max="8206" width="9.6640625" style="407" bestFit="1" customWidth="1"/>
    <col min="8207" max="8207" width="9.1640625" style="407"/>
    <col min="8208" max="8208" width="9.6640625" style="407" bestFit="1" customWidth="1"/>
    <col min="8209" max="8209" width="3.1640625" style="407" customWidth="1"/>
    <col min="8210" max="8444" width="9.1640625" style="407"/>
    <col min="8445" max="8445" width="18" style="407" customWidth="1"/>
    <col min="8446" max="8446" width="9.6640625" style="407" bestFit="1" customWidth="1"/>
    <col min="8447" max="8447" width="9.1640625" style="407"/>
    <col min="8448" max="8448" width="9.6640625" style="407" bestFit="1" customWidth="1"/>
    <col min="8449" max="8449" width="3.1640625" style="407" customWidth="1"/>
    <col min="8450" max="8451" width="9.1640625" style="407"/>
    <col min="8452" max="8452" width="9.6640625" style="407" bestFit="1" customWidth="1"/>
    <col min="8453" max="8453" width="9" style="407" customWidth="1"/>
    <col min="8454" max="8455" width="9.1640625" style="407"/>
    <col min="8456" max="8456" width="9.6640625" style="407" bestFit="1" customWidth="1"/>
    <col min="8457" max="8457" width="2.33203125" style="407" customWidth="1"/>
    <col min="8458" max="8460" width="9.1640625" style="407"/>
    <col min="8461" max="8461" width="3.1640625" style="407" customWidth="1"/>
    <col min="8462" max="8462" width="9.6640625" style="407" bestFit="1" customWidth="1"/>
    <col min="8463" max="8463" width="9.1640625" style="407"/>
    <col min="8464" max="8464" width="9.6640625" style="407" bestFit="1" customWidth="1"/>
    <col min="8465" max="8465" width="3.1640625" style="407" customWidth="1"/>
    <col min="8466" max="8700" width="9.1640625" style="407"/>
    <col min="8701" max="8701" width="18" style="407" customWidth="1"/>
    <col min="8702" max="8702" width="9.6640625" style="407" bestFit="1" customWidth="1"/>
    <col min="8703" max="8703" width="9.1640625" style="407"/>
    <col min="8704" max="8704" width="9.6640625" style="407" bestFit="1" customWidth="1"/>
    <col min="8705" max="8705" width="3.1640625" style="407" customWidth="1"/>
    <col min="8706" max="8707" width="9.1640625" style="407"/>
    <col min="8708" max="8708" width="9.6640625" style="407" bestFit="1" customWidth="1"/>
    <col min="8709" max="8709" width="9" style="407" customWidth="1"/>
    <col min="8710" max="8711" width="9.1640625" style="407"/>
    <col min="8712" max="8712" width="9.6640625" style="407" bestFit="1" customWidth="1"/>
    <col min="8713" max="8713" width="2.33203125" style="407" customWidth="1"/>
    <col min="8714" max="8716" width="9.1640625" style="407"/>
    <col min="8717" max="8717" width="3.1640625" style="407" customWidth="1"/>
    <col min="8718" max="8718" width="9.6640625" style="407" bestFit="1" customWidth="1"/>
    <col min="8719" max="8719" width="9.1640625" style="407"/>
    <col min="8720" max="8720" width="9.6640625" style="407" bestFit="1" customWidth="1"/>
    <col min="8721" max="8721" width="3.1640625" style="407" customWidth="1"/>
    <col min="8722" max="8956" width="9.1640625" style="407"/>
    <col min="8957" max="8957" width="18" style="407" customWidth="1"/>
    <col min="8958" max="8958" width="9.6640625" style="407" bestFit="1" customWidth="1"/>
    <col min="8959" max="8959" width="9.1640625" style="407"/>
    <col min="8960" max="8960" width="9.6640625" style="407" bestFit="1" customWidth="1"/>
    <col min="8961" max="8961" width="3.1640625" style="407" customWidth="1"/>
    <col min="8962" max="8963" width="9.1640625" style="407"/>
    <col min="8964" max="8964" width="9.6640625" style="407" bestFit="1" customWidth="1"/>
    <col min="8965" max="8965" width="9" style="407" customWidth="1"/>
    <col min="8966" max="8967" width="9.1640625" style="407"/>
    <col min="8968" max="8968" width="9.6640625" style="407" bestFit="1" customWidth="1"/>
    <col min="8969" max="8969" width="2.33203125" style="407" customWidth="1"/>
    <col min="8970" max="8972" width="9.1640625" style="407"/>
    <col min="8973" max="8973" width="3.1640625" style="407" customWidth="1"/>
    <col min="8974" max="8974" width="9.6640625" style="407" bestFit="1" customWidth="1"/>
    <col min="8975" max="8975" width="9.1640625" style="407"/>
    <col min="8976" max="8976" width="9.6640625" style="407" bestFit="1" customWidth="1"/>
    <col min="8977" max="8977" width="3.1640625" style="407" customWidth="1"/>
    <col min="8978" max="9212" width="9.1640625" style="407"/>
    <col min="9213" max="9213" width="18" style="407" customWidth="1"/>
    <col min="9214" max="9214" width="9.6640625" style="407" bestFit="1" customWidth="1"/>
    <col min="9215" max="9215" width="9.1640625" style="407"/>
    <col min="9216" max="9216" width="9.6640625" style="407" bestFit="1" customWidth="1"/>
    <col min="9217" max="9217" width="3.1640625" style="407" customWidth="1"/>
    <col min="9218" max="9219" width="9.1640625" style="407"/>
    <col min="9220" max="9220" width="9.6640625" style="407" bestFit="1" customWidth="1"/>
    <col min="9221" max="9221" width="9" style="407" customWidth="1"/>
    <col min="9222" max="9223" width="9.1640625" style="407"/>
    <col min="9224" max="9224" width="9.6640625" style="407" bestFit="1" customWidth="1"/>
    <col min="9225" max="9225" width="2.33203125" style="407" customWidth="1"/>
    <col min="9226" max="9228" width="9.1640625" style="407"/>
    <col min="9229" max="9229" width="3.1640625" style="407" customWidth="1"/>
    <col min="9230" max="9230" width="9.6640625" style="407" bestFit="1" customWidth="1"/>
    <col min="9231" max="9231" width="9.1640625" style="407"/>
    <col min="9232" max="9232" width="9.6640625" style="407" bestFit="1" customWidth="1"/>
    <col min="9233" max="9233" width="3.1640625" style="407" customWidth="1"/>
    <col min="9234" max="9468" width="9.1640625" style="407"/>
    <col min="9469" max="9469" width="18" style="407" customWidth="1"/>
    <col min="9470" max="9470" width="9.6640625" style="407" bestFit="1" customWidth="1"/>
    <col min="9471" max="9471" width="9.1640625" style="407"/>
    <col min="9472" max="9472" width="9.6640625" style="407" bestFit="1" customWidth="1"/>
    <col min="9473" max="9473" width="3.1640625" style="407" customWidth="1"/>
    <col min="9474" max="9475" width="9.1640625" style="407"/>
    <col min="9476" max="9476" width="9.6640625" style="407" bestFit="1" customWidth="1"/>
    <col min="9477" max="9477" width="9" style="407" customWidth="1"/>
    <col min="9478" max="9479" width="9.1640625" style="407"/>
    <col min="9480" max="9480" width="9.6640625" style="407" bestFit="1" customWidth="1"/>
    <col min="9481" max="9481" width="2.33203125" style="407" customWidth="1"/>
    <col min="9482" max="9484" width="9.1640625" style="407"/>
    <col min="9485" max="9485" width="3.1640625" style="407" customWidth="1"/>
    <col min="9486" max="9486" width="9.6640625" style="407" bestFit="1" customWidth="1"/>
    <col min="9487" max="9487" width="9.1640625" style="407"/>
    <col min="9488" max="9488" width="9.6640625" style="407" bestFit="1" customWidth="1"/>
    <col min="9489" max="9489" width="3.1640625" style="407" customWidth="1"/>
    <col min="9490" max="9724" width="9.1640625" style="407"/>
    <col min="9725" max="9725" width="18" style="407" customWidth="1"/>
    <col min="9726" max="9726" width="9.6640625" style="407" bestFit="1" customWidth="1"/>
    <col min="9727" max="9727" width="9.1640625" style="407"/>
    <col min="9728" max="9728" width="9.6640625" style="407" bestFit="1" customWidth="1"/>
    <col min="9729" max="9729" width="3.1640625" style="407" customWidth="1"/>
    <col min="9730" max="9731" width="9.1640625" style="407"/>
    <col min="9732" max="9732" width="9.6640625" style="407" bestFit="1" customWidth="1"/>
    <col min="9733" max="9733" width="9" style="407" customWidth="1"/>
    <col min="9734" max="9735" width="9.1640625" style="407"/>
    <col min="9736" max="9736" width="9.6640625" style="407" bestFit="1" customWidth="1"/>
    <col min="9737" max="9737" width="2.33203125" style="407" customWidth="1"/>
    <col min="9738" max="9740" width="9.1640625" style="407"/>
    <col min="9741" max="9741" width="3.1640625" style="407" customWidth="1"/>
    <col min="9742" max="9742" width="9.6640625" style="407" bestFit="1" customWidth="1"/>
    <col min="9743" max="9743" width="9.1640625" style="407"/>
    <col min="9744" max="9744" width="9.6640625" style="407" bestFit="1" customWidth="1"/>
    <col min="9745" max="9745" width="3.1640625" style="407" customWidth="1"/>
    <col min="9746" max="9980" width="9.1640625" style="407"/>
    <col min="9981" max="9981" width="18" style="407" customWidth="1"/>
    <col min="9982" max="9982" width="9.6640625" style="407" bestFit="1" customWidth="1"/>
    <col min="9983" max="9983" width="9.1640625" style="407"/>
    <col min="9984" max="9984" width="9.6640625" style="407" bestFit="1" customWidth="1"/>
    <col min="9985" max="9985" width="3.1640625" style="407" customWidth="1"/>
    <col min="9986" max="9987" width="9.1640625" style="407"/>
    <col min="9988" max="9988" width="9.6640625" style="407" bestFit="1" customWidth="1"/>
    <col min="9989" max="9989" width="9" style="407" customWidth="1"/>
    <col min="9990" max="9991" width="9.1640625" style="407"/>
    <col min="9992" max="9992" width="9.6640625" style="407" bestFit="1" customWidth="1"/>
    <col min="9993" max="9993" width="2.33203125" style="407" customWidth="1"/>
    <col min="9994" max="9996" width="9.1640625" style="407"/>
    <col min="9997" max="9997" width="3.1640625" style="407" customWidth="1"/>
    <col min="9998" max="9998" width="9.6640625" style="407" bestFit="1" customWidth="1"/>
    <col min="9999" max="9999" width="9.1640625" style="407"/>
    <col min="10000" max="10000" width="9.6640625" style="407" bestFit="1" customWidth="1"/>
    <col min="10001" max="10001" width="3.1640625" style="407" customWidth="1"/>
    <col min="10002" max="10236" width="9.1640625" style="407"/>
    <col min="10237" max="10237" width="18" style="407" customWidth="1"/>
    <col min="10238" max="10238" width="9.6640625" style="407" bestFit="1" customWidth="1"/>
    <col min="10239" max="10239" width="9.1640625" style="407"/>
    <col min="10240" max="10240" width="9.6640625" style="407" bestFit="1" customWidth="1"/>
    <col min="10241" max="10241" width="3.1640625" style="407" customWidth="1"/>
    <col min="10242" max="10243" width="9.1640625" style="407"/>
    <col min="10244" max="10244" width="9.6640625" style="407" bestFit="1" customWidth="1"/>
    <col min="10245" max="10245" width="9" style="407" customWidth="1"/>
    <col min="10246" max="10247" width="9.1640625" style="407"/>
    <col min="10248" max="10248" width="9.6640625" style="407" bestFit="1" customWidth="1"/>
    <col min="10249" max="10249" width="2.33203125" style="407" customWidth="1"/>
    <col min="10250" max="10252" width="9.1640625" style="407"/>
    <col min="10253" max="10253" width="3.1640625" style="407" customWidth="1"/>
    <col min="10254" max="10254" width="9.6640625" style="407" bestFit="1" customWidth="1"/>
    <col min="10255" max="10255" width="9.1640625" style="407"/>
    <col min="10256" max="10256" width="9.6640625" style="407" bestFit="1" customWidth="1"/>
    <col min="10257" max="10257" width="3.1640625" style="407" customWidth="1"/>
    <col min="10258" max="10492" width="9.1640625" style="407"/>
    <col min="10493" max="10493" width="18" style="407" customWidth="1"/>
    <col min="10494" max="10494" width="9.6640625" style="407" bestFit="1" customWidth="1"/>
    <col min="10495" max="10495" width="9.1640625" style="407"/>
    <col min="10496" max="10496" width="9.6640625" style="407" bestFit="1" customWidth="1"/>
    <col min="10497" max="10497" width="3.1640625" style="407" customWidth="1"/>
    <col min="10498" max="10499" width="9.1640625" style="407"/>
    <col min="10500" max="10500" width="9.6640625" style="407" bestFit="1" customWidth="1"/>
    <col min="10501" max="10501" width="9" style="407" customWidth="1"/>
    <col min="10502" max="10503" width="9.1640625" style="407"/>
    <col min="10504" max="10504" width="9.6640625" style="407" bestFit="1" customWidth="1"/>
    <col min="10505" max="10505" width="2.33203125" style="407" customWidth="1"/>
    <col min="10506" max="10508" width="9.1640625" style="407"/>
    <col min="10509" max="10509" width="3.1640625" style="407" customWidth="1"/>
    <col min="10510" max="10510" width="9.6640625" style="407" bestFit="1" customWidth="1"/>
    <col min="10511" max="10511" width="9.1640625" style="407"/>
    <col min="10512" max="10512" width="9.6640625" style="407" bestFit="1" customWidth="1"/>
    <col min="10513" max="10513" width="3.1640625" style="407" customWidth="1"/>
    <col min="10514" max="10748" width="9.1640625" style="407"/>
    <col min="10749" max="10749" width="18" style="407" customWidth="1"/>
    <col min="10750" max="10750" width="9.6640625" style="407" bestFit="1" customWidth="1"/>
    <col min="10751" max="10751" width="9.1640625" style="407"/>
    <col min="10752" max="10752" width="9.6640625" style="407" bestFit="1" customWidth="1"/>
    <col min="10753" max="10753" width="3.1640625" style="407" customWidth="1"/>
    <col min="10754" max="10755" width="9.1640625" style="407"/>
    <col min="10756" max="10756" width="9.6640625" style="407" bestFit="1" customWidth="1"/>
    <col min="10757" max="10757" width="9" style="407" customWidth="1"/>
    <col min="10758" max="10759" width="9.1640625" style="407"/>
    <col min="10760" max="10760" width="9.6640625" style="407" bestFit="1" customWidth="1"/>
    <col min="10761" max="10761" width="2.33203125" style="407" customWidth="1"/>
    <col min="10762" max="10764" width="9.1640625" style="407"/>
    <col min="10765" max="10765" width="3.1640625" style="407" customWidth="1"/>
    <col min="10766" max="10766" width="9.6640625" style="407" bestFit="1" customWidth="1"/>
    <col min="10767" max="10767" width="9.1640625" style="407"/>
    <col min="10768" max="10768" width="9.6640625" style="407" bestFit="1" customWidth="1"/>
    <col min="10769" max="10769" width="3.1640625" style="407" customWidth="1"/>
    <col min="10770" max="11004" width="9.1640625" style="407"/>
    <col min="11005" max="11005" width="18" style="407" customWidth="1"/>
    <col min="11006" max="11006" width="9.6640625" style="407" bestFit="1" customWidth="1"/>
    <col min="11007" max="11007" width="9.1640625" style="407"/>
    <col min="11008" max="11008" width="9.6640625" style="407" bestFit="1" customWidth="1"/>
    <col min="11009" max="11009" width="3.1640625" style="407" customWidth="1"/>
    <col min="11010" max="11011" width="9.1640625" style="407"/>
    <col min="11012" max="11012" width="9.6640625" style="407" bestFit="1" customWidth="1"/>
    <col min="11013" max="11013" width="9" style="407" customWidth="1"/>
    <col min="11014" max="11015" width="9.1640625" style="407"/>
    <col min="11016" max="11016" width="9.6640625" style="407" bestFit="1" customWidth="1"/>
    <col min="11017" max="11017" width="2.33203125" style="407" customWidth="1"/>
    <col min="11018" max="11020" width="9.1640625" style="407"/>
    <col min="11021" max="11021" width="3.1640625" style="407" customWidth="1"/>
    <col min="11022" max="11022" width="9.6640625" style="407" bestFit="1" customWidth="1"/>
    <col min="11023" max="11023" width="9.1640625" style="407"/>
    <col min="11024" max="11024" width="9.6640625" style="407" bestFit="1" customWidth="1"/>
    <col min="11025" max="11025" width="3.1640625" style="407" customWidth="1"/>
    <col min="11026" max="11260" width="9.1640625" style="407"/>
    <col min="11261" max="11261" width="18" style="407" customWidth="1"/>
    <col min="11262" max="11262" width="9.6640625" style="407" bestFit="1" customWidth="1"/>
    <col min="11263" max="11263" width="9.1640625" style="407"/>
    <col min="11264" max="11264" width="9.6640625" style="407" bestFit="1" customWidth="1"/>
    <col min="11265" max="11265" width="3.1640625" style="407" customWidth="1"/>
    <col min="11266" max="11267" width="9.1640625" style="407"/>
    <col min="11268" max="11268" width="9.6640625" style="407" bestFit="1" customWidth="1"/>
    <col min="11269" max="11269" width="9" style="407" customWidth="1"/>
    <col min="11270" max="11271" width="9.1640625" style="407"/>
    <col min="11272" max="11272" width="9.6640625" style="407" bestFit="1" customWidth="1"/>
    <col min="11273" max="11273" width="2.33203125" style="407" customWidth="1"/>
    <col min="11274" max="11276" width="9.1640625" style="407"/>
    <col min="11277" max="11277" width="3.1640625" style="407" customWidth="1"/>
    <col min="11278" max="11278" width="9.6640625" style="407" bestFit="1" customWidth="1"/>
    <col min="11279" max="11279" width="9.1640625" style="407"/>
    <col min="11280" max="11280" width="9.6640625" style="407" bestFit="1" customWidth="1"/>
    <col min="11281" max="11281" width="3.1640625" style="407" customWidth="1"/>
    <col min="11282" max="11516" width="9.1640625" style="407"/>
    <col min="11517" max="11517" width="18" style="407" customWidth="1"/>
    <col min="11518" max="11518" width="9.6640625" style="407" bestFit="1" customWidth="1"/>
    <col min="11519" max="11519" width="9.1640625" style="407"/>
    <col min="11520" max="11520" width="9.6640625" style="407" bestFit="1" customWidth="1"/>
    <col min="11521" max="11521" width="3.1640625" style="407" customWidth="1"/>
    <col min="11522" max="11523" width="9.1640625" style="407"/>
    <col min="11524" max="11524" width="9.6640625" style="407" bestFit="1" customWidth="1"/>
    <col min="11525" max="11525" width="9" style="407" customWidth="1"/>
    <col min="11526" max="11527" width="9.1640625" style="407"/>
    <col min="11528" max="11528" width="9.6640625" style="407" bestFit="1" customWidth="1"/>
    <col min="11529" max="11529" width="2.33203125" style="407" customWidth="1"/>
    <col min="11530" max="11532" width="9.1640625" style="407"/>
    <col min="11533" max="11533" width="3.1640625" style="407" customWidth="1"/>
    <col min="11534" max="11534" width="9.6640625" style="407" bestFit="1" customWidth="1"/>
    <col min="11535" max="11535" width="9.1640625" style="407"/>
    <col min="11536" max="11536" width="9.6640625" style="407" bestFit="1" customWidth="1"/>
    <col min="11537" max="11537" width="3.1640625" style="407" customWidth="1"/>
    <col min="11538" max="11772" width="9.1640625" style="407"/>
    <col min="11773" max="11773" width="18" style="407" customWidth="1"/>
    <col min="11774" max="11774" width="9.6640625" style="407" bestFit="1" customWidth="1"/>
    <col min="11775" max="11775" width="9.1640625" style="407"/>
    <col min="11776" max="11776" width="9.6640625" style="407" bestFit="1" customWidth="1"/>
    <col min="11777" max="11777" width="3.1640625" style="407" customWidth="1"/>
    <col min="11778" max="11779" width="9.1640625" style="407"/>
    <col min="11780" max="11780" width="9.6640625" style="407" bestFit="1" customWidth="1"/>
    <col min="11781" max="11781" width="9" style="407" customWidth="1"/>
    <col min="11782" max="11783" width="9.1640625" style="407"/>
    <col min="11784" max="11784" width="9.6640625" style="407" bestFit="1" customWidth="1"/>
    <col min="11785" max="11785" width="2.33203125" style="407" customWidth="1"/>
    <col min="11786" max="11788" width="9.1640625" style="407"/>
    <col min="11789" max="11789" width="3.1640625" style="407" customWidth="1"/>
    <col min="11790" max="11790" width="9.6640625" style="407" bestFit="1" customWidth="1"/>
    <col min="11791" max="11791" width="9.1640625" style="407"/>
    <col min="11792" max="11792" width="9.6640625" style="407" bestFit="1" customWidth="1"/>
    <col min="11793" max="11793" width="3.1640625" style="407" customWidth="1"/>
    <col min="11794" max="12028" width="9.1640625" style="407"/>
    <col min="12029" max="12029" width="18" style="407" customWidth="1"/>
    <col min="12030" max="12030" width="9.6640625" style="407" bestFit="1" customWidth="1"/>
    <col min="12031" max="12031" width="9.1640625" style="407"/>
    <col min="12032" max="12032" width="9.6640625" style="407" bestFit="1" customWidth="1"/>
    <col min="12033" max="12033" width="3.1640625" style="407" customWidth="1"/>
    <col min="12034" max="12035" width="9.1640625" style="407"/>
    <col min="12036" max="12036" width="9.6640625" style="407" bestFit="1" customWidth="1"/>
    <col min="12037" max="12037" width="9" style="407" customWidth="1"/>
    <col min="12038" max="12039" width="9.1640625" style="407"/>
    <col min="12040" max="12040" width="9.6640625" style="407" bestFit="1" customWidth="1"/>
    <col min="12041" max="12041" width="2.33203125" style="407" customWidth="1"/>
    <col min="12042" max="12044" width="9.1640625" style="407"/>
    <col min="12045" max="12045" width="3.1640625" style="407" customWidth="1"/>
    <col min="12046" max="12046" width="9.6640625" style="407" bestFit="1" customWidth="1"/>
    <col min="12047" max="12047" width="9.1640625" style="407"/>
    <col min="12048" max="12048" width="9.6640625" style="407" bestFit="1" customWidth="1"/>
    <col min="12049" max="12049" width="3.1640625" style="407" customWidth="1"/>
    <col min="12050" max="12284" width="9.1640625" style="407"/>
    <col min="12285" max="12285" width="18" style="407" customWidth="1"/>
    <col min="12286" max="12286" width="9.6640625" style="407" bestFit="1" customWidth="1"/>
    <col min="12287" max="12287" width="9.1640625" style="407"/>
    <col min="12288" max="12288" width="9.6640625" style="407" bestFit="1" customWidth="1"/>
    <col min="12289" max="12289" width="3.1640625" style="407" customWidth="1"/>
    <col min="12290" max="12291" width="9.1640625" style="407"/>
    <col min="12292" max="12292" width="9.6640625" style="407" bestFit="1" customWidth="1"/>
    <col min="12293" max="12293" width="9" style="407" customWidth="1"/>
    <col min="12294" max="12295" width="9.1640625" style="407"/>
    <col min="12296" max="12296" width="9.6640625" style="407" bestFit="1" customWidth="1"/>
    <col min="12297" max="12297" width="2.33203125" style="407" customWidth="1"/>
    <col min="12298" max="12300" width="9.1640625" style="407"/>
    <col min="12301" max="12301" width="3.1640625" style="407" customWidth="1"/>
    <col min="12302" max="12302" width="9.6640625" style="407" bestFit="1" customWidth="1"/>
    <col min="12303" max="12303" width="9.1640625" style="407"/>
    <col min="12304" max="12304" width="9.6640625" style="407" bestFit="1" customWidth="1"/>
    <col min="12305" max="12305" width="3.1640625" style="407" customWidth="1"/>
    <col min="12306" max="12540" width="9.1640625" style="407"/>
    <col min="12541" max="12541" width="18" style="407" customWidth="1"/>
    <col min="12542" max="12542" width="9.6640625" style="407" bestFit="1" customWidth="1"/>
    <col min="12543" max="12543" width="9.1640625" style="407"/>
    <col min="12544" max="12544" width="9.6640625" style="407" bestFit="1" customWidth="1"/>
    <col min="12545" max="12545" width="3.1640625" style="407" customWidth="1"/>
    <col min="12546" max="12547" width="9.1640625" style="407"/>
    <col min="12548" max="12548" width="9.6640625" style="407" bestFit="1" customWidth="1"/>
    <col min="12549" max="12549" width="9" style="407" customWidth="1"/>
    <col min="12550" max="12551" width="9.1640625" style="407"/>
    <col min="12552" max="12552" width="9.6640625" style="407" bestFit="1" customWidth="1"/>
    <col min="12553" max="12553" width="2.33203125" style="407" customWidth="1"/>
    <col min="12554" max="12556" width="9.1640625" style="407"/>
    <col min="12557" max="12557" width="3.1640625" style="407" customWidth="1"/>
    <col min="12558" max="12558" width="9.6640625" style="407" bestFit="1" customWidth="1"/>
    <col min="12559" max="12559" width="9.1640625" style="407"/>
    <col min="12560" max="12560" width="9.6640625" style="407" bestFit="1" customWidth="1"/>
    <col min="12561" max="12561" width="3.1640625" style="407" customWidth="1"/>
    <col min="12562" max="12796" width="9.1640625" style="407"/>
    <col min="12797" max="12797" width="18" style="407" customWidth="1"/>
    <col min="12798" max="12798" width="9.6640625" style="407" bestFit="1" customWidth="1"/>
    <col min="12799" max="12799" width="9.1640625" style="407"/>
    <col min="12800" max="12800" width="9.6640625" style="407" bestFit="1" customWidth="1"/>
    <col min="12801" max="12801" width="3.1640625" style="407" customWidth="1"/>
    <col min="12802" max="12803" width="9.1640625" style="407"/>
    <col min="12804" max="12804" width="9.6640625" style="407" bestFit="1" customWidth="1"/>
    <col min="12805" max="12805" width="9" style="407" customWidth="1"/>
    <col min="12806" max="12807" width="9.1640625" style="407"/>
    <col min="12808" max="12808" width="9.6640625" style="407" bestFit="1" customWidth="1"/>
    <col min="12809" max="12809" width="2.33203125" style="407" customWidth="1"/>
    <col min="12810" max="12812" width="9.1640625" style="407"/>
    <col min="12813" max="12813" width="3.1640625" style="407" customWidth="1"/>
    <col min="12814" max="12814" width="9.6640625" style="407" bestFit="1" customWidth="1"/>
    <col min="12815" max="12815" width="9.1640625" style="407"/>
    <col min="12816" max="12816" width="9.6640625" style="407" bestFit="1" customWidth="1"/>
    <col min="12817" max="12817" width="3.1640625" style="407" customWidth="1"/>
    <col min="12818" max="13052" width="9.1640625" style="407"/>
    <col min="13053" max="13053" width="18" style="407" customWidth="1"/>
    <col min="13054" max="13054" width="9.6640625" style="407" bestFit="1" customWidth="1"/>
    <col min="13055" max="13055" width="9.1640625" style="407"/>
    <col min="13056" max="13056" width="9.6640625" style="407" bestFit="1" customWidth="1"/>
    <col min="13057" max="13057" width="3.1640625" style="407" customWidth="1"/>
    <col min="13058" max="13059" width="9.1640625" style="407"/>
    <col min="13060" max="13060" width="9.6640625" style="407" bestFit="1" customWidth="1"/>
    <col min="13061" max="13061" width="9" style="407" customWidth="1"/>
    <col min="13062" max="13063" width="9.1640625" style="407"/>
    <col min="13064" max="13064" width="9.6640625" style="407" bestFit="1" customWidth="1"/>
    <col min="13065" max="13065" width="2.33203125" style="407" customWidth="1"/>
    <col min="13066" max="13068" width="9.1640625" style="407"/>
    <col min="13069" max="13069" width="3.1640625" style="407" customWidth="1"/>
    <col min="13070" max="13070" width="9.6640625" style="407" bestFit="1" customWidth="1"/>
    <col min="13071" max="13071" width="9.1640625" style="407"/>
    <col min="13072" max="13072" width="9.6640625" style="407" bestFit="1" customWidth="1"/>
    <col min="13073" max="13073" width="3.1640625" style="407" customWidth="1"/>
    <col min="13074" max="13308" width="9.1640625" style="407"/>
    <col min="13309" max="13309" width="18" style="407" customWidth="1"/>
    <col min="13310" max="13310" width="9.6640625" style="407" bestFit="1" customWidth="1"/>
    <col min="13311" max="13311" width="9.1640625" style="407"/>
    <col min="13312" max="13312" width="9.6640625" style="407" bestFit="1" customWidth="1"/>
    <col min="13313" max="13313" width="3.1640625" style="407" customWidth="1"/>
    <col min="13314" max="13315" width="9.1640625" style="407"/>
    <col min="13316" max="13316" width="9.6640625" style="407" bestFit="1" customWidth="1"/>
    <col min="13317" max="13317" width="9" style="407" customWidth="1"/>
    <col min="13318" max="13319" width="9.1640625" style="407"/>
    <col min="13320" max="13320" width="9.6640625" style="407" bestFit="1" customWidth="1"/>
    <col min="13321" max="13321" width="2.33203125" style="407" customWidth="1"/>
    <col min="13322" max="13324" width="9.1640625" style="407"/>
    <col min="13325" max="13325" width="3.1640625" style="407" customWidth="1"/>
    <col min="13326" max="13326" width="9.6640625" style="407" bestFit="1" customWidth="1"/>
    <col min="13327" max="13327" width="9.1640625" style="407"/>
    <col min="13328" max="13328" width="9.6640625" style="407" bestFit="1" customWidth="1"/>
    <col min="13329" max="13329" width="3.1640625" style="407" customWidth="1"/>
    <col min="13330" max="13564" width="9.1640625" style="407"/>
    <col min="13565" max="13565" width="18" style="407" customWidth="1"/>
    <col min="13566" max="13566" width="9.6640625" style="407" bestFit="1" customWidth="1"/>
    <col min="13567" max="13567" width="9.1640625" style="407"/>
    <col min="13568" max="13568" width="9.6640625" style="407" bestFit="1" customWidth="1"/>
    <col min="13569" max="13569" width="3.1640625" style="407" customWidth="1"/>
    <col min="13570" max="13571" width="9.1640625" style="407"/>
    <col min="13572" max="13572" width="9.6640625" style="407" bestFit="1" customWidth="1"/>
    <col min="13573" max="13573" width="9" style="407" customWidth="1"/>
    <col min="13574" max="13575" width="9.1640625" style="407"/>
    <col min="13576" max="13576" width="9.6640625" style="407" bestFit="1" customWidth="1"/>
    <col min="13577" max="13577" width="2.33203125" style="407" customWidth="1"/>
    <col min="13578" max="13580" width="9.1640625" style="407"/>
    <col min="13581" max="13581" width="3.1640625" style="407" customWidth="1"/>
    <col min="13582" max="13582" width="9.6640625" style="407" bestFit="1" customWidth="1"/>
    <col min="13583" max="13583" width="9.1640625" style="407"/>
    <col min="13584" max="13584" width="9.6640625" style="407" bestFit="1" customWidth="1"/>
    <col min="13585" max="13585" width="3.1640625" style="407" customWidth="1"/>
    <col min="13586" max="13820" width="9.1640625" style="407"/>
    <col min="13821" max="13821" width="18" style="407" customWidth="1"/>
    <col min="13822" max="13822" width="9.6640625" style="407" bestFit="1" customWidth="1"/>
    <col min="13823" max="13823" width="9.1640625" style="407"/>
    <col min="13824" max="13824" width="9.6640625" style="407" bestFit="1" customWidth="1"/>
    <col min="13825" max="13825" width="3.1640625" style="407" customWidth="1"/>
    <col min="13826" max="13827" width="9.1640625" style="407"/>
    <col min="13828" max="13828" width="9.6640625" style="407" bestFit="1" customWidth="1"/>
    <col min="13829" max="13829" width="9" style="407" customWidth="1"/>
    <col min="13830" max="13831" width="9.1640625" style="407"/>
    <col min="13832" max="13832" width="9.6640625" style="407" bestFit="1" customWidth="1"/>
    <col min="13833" max="13833" width="2.33203125" style="407" customWidth="1"/>
    <col min="13834" max="13836" width="9.1640625" style="407"/>
    <col min="13837" max="13837" width="3.1640625" style="407" customWidth="1"/>
    <col min="13838" max="13838" width="9.6640625" style="407" bestFit="1" customWidth="1"/>
    <col min="13839" max="13839" width="9.1640625" style="407"/>
    <col min="13840" max="13840" width="9.6640625" style="407" bestFit="1" customWidth="1"/>
    <col min="13841" max="13841" width="3.1640625" style="407" customWidth="1"/>
    <col min="13842" max="14076" width="9.1640625" style="407"/>
    <col min="14077" max="14077" width="18" style="407" customWidth="1"/>
    <col min="14078" max="14078" width="9.6640625" style="407" bestFit="1" customWidth="1"/>
    <col min="14079" max="14079" width="9.1640625" style="407"/>
    <col min="14080" max="14080" width="9.6640625" style="407" bestFit="1" customWidth="1"/>
    <col min="14081" max="14081" width="3.1640625" style="407" customWidth="1"/>
    <col min="14082" max="14083" width="9.1640625" style="407"/>
    <col min="14084" max="14084" width="9.6640625" style="407" bestFit="1" customWidth="1"/>
    <col min="14085" max="14085" width="9" style="407" customWidth="1"/>
    <col min="14086" max="14087" width="9.1640625" style="407"/>
    <col min="14088" max="14088" width="9.6640625" style="407" bestFit="1" customWidth="1"/>
    <col min="14089" max="14089" width="2.33203125" style="407" customWidth="1"/>
    <col min="14090" max="14092" width="9.1640625" style="407"/>
    <col min="14093" max="14093" width="3.1640625" style="407" customWidth="1"/>
    <col min="14094" max="14094" width="9.6640625" style="407" bestFit="1" customWidth="1"/>
    <col min="14095" max="14095" width="9.1640625" style="407"/>
    <col min="14096" max="14096" width="9.6640625" style="407" bestFit="1" customWidth="1"/>
    <col min="14097" max="14097" width="3.1640625" style="407" customWidth="1"/>
    <col min="14098" max="14332" width="9.1640625" style="407"/>
    <col min="14333" max="14333" width="18" style="407" customWidth="1"/>
    <col min="14334" max="14334" width="9.6640625" style="407" bestFit="1" customWidth="1"/>
    <col min="14335" max="14335" width="9.1640625" style="407"/>
    <col min="14336" max="14336" width="9.6640625" style="407" bestFit="1" customWidth="1"/>
    <col min="14337" max="14337" width="3.1640625" style="407" customWidth="1"/>
    <col min="14338" max="14339" width="9.1640625" style="407"/>
    <col min="14340" max="14340" width="9.6640625" style="407" bestFit="1" customWidth="1"/>
    <col min="14341" max="14341" width="9" style="407" customWidth="1"/>
    <col min="14342" max="14343" width="9.1640625" style="407"/>
    <col min="14344" max="14344" width="9.6640625" style="407" bestFit="1" customWidth="1"/>
    <col min="14345" max="14345" width="2.33203125" style="407" customWidth="1"/>
    <col min="14346" max="14348" width="9.1640625" style="407"/>
    <col min="14349" max="14349" width="3.1640625" style="407" customWidth="1"/>
    <col min="14350" max="14350" width="9.6640625" style="407" bestFit="1" customWidth="1"/>
    <col min="14351" max="14351" width="9.1640625" style="407"/>
    <col min="14352" max="14352" width="9.6640625" style="407" bestFit="1" customWidth="1"/>
    <col min="14353" max="14353" width="3.1640625" style="407" customWidth="1"/>
    <col min="14354" max="14588" width="9.1640625" style="407"/>
    <col min="14589" max="14589" width="18" style="407" customWidth="1"/>
    <col min="14590" max="14590" width="9.6640625" style="407" bestFit="1" customWidth="1"/>
    <col min="14591" max="14591" width="9.1640625" style="407"/>
    <col min="14592" max="14592" width="9.6640625" style="407" bestFit="1" customWidth="1"/>
    <col min="14593" max="14593" width="3.1640625" style="407" customWidth="1"/>
    <col min="14594" max="14595" width="9.1640625" style="407"/>
    <col min="14596" max="14596" width="9.6640625" style="407" bestFit="1" customWidth="1"/>
    <col min="14597" max="14597" width="9" style="407" customWidth="1"/>
    <col min="14598" max="14599" width="9.1640625" style="407"/>
    <col min="14600" max="14600" width="9.6640625" style="407" bestFit="1" customWidth="1"/>
    <col min="14601" max="14601" width="2.33203125" style="407" customWidth="1"/>
    <col min="14602" max="14604" width="9.1640625" style="407"/>
    <col min="14605" max="14605" width="3.1640625" style="407" customWidth="1"/>
    <col min="14606" max="14606" width="9.6640625" style="407" bestFit="1" customWidth="1"/>
    <col min="14607" max="14607" width="9.1640625" style="407"/>
    <col min="14608" max="14608" width="9.6640625" style="407" bestFit="1" customWidth="1"/>
    <col min="14609" max="14609" width="3.1640625" style="407" customWidth="1"/>
    <col min="14610" max="14844" width="9.1640625" style="407"/>
    <col min="14845" max="14845" width="18" style="407" customWidth="1"/>
    <col min="14846" max="14846" width="9.6640625" style="407" bestFit="1" customWidth="1"/>
    <col min="14847" max="14847" width="9.1640625" style="407"/>
    <col min="14848" max="14848" width="9.6640625" style="407" bestFit="1" customWidth="1"/>
    <col min="14849" max="14849" width="3.1640625" style="407" customWidth="1"/>
    <col min="14850" max="14851" width="9.1640625" style="407"/>
    <col min="14852" max="14852" width="9.6640625" style="407" bestFit="1" customWidth="1"/>
    <col min="14853" max="14853" width="9" style="407" customWidth="1"/>
    <col min="14854" max="14855" width="9.1640625" style="407"/>
    <col min="14856" max="14856" width="9.6640625" style="407" bestFit="1" customWidth="1"/>
    <col min="14857" max="14857" width="2.33203125" style="407" customWidth="1"/>
    <col min="14858" max="14860" width="9.1640625" style="407"/>
    <col min="14861" max="14861" width="3.1640625" style="407" customWidth="1"/>
    <col min="14862" max="14862" width="9.6640625" style="407" bestFit="1" customWidth="1"/>
    <col min="14863" max="14863" width="9.1640625" style="407"/>
    <col min="14864" max="14864" width="9.6640625" style="407" bestFit="1" customWidth="1"/>
    <col min="14865" max="14865" width="3.1640625" style="407" customWidth="1"/>
    <col min="14866" max="15100" width="9.1640625" style="407"/>
    <col min="15101" max="15101" width="18" style="407" customWidth="1"/>
    <col min="15102" max="15102" width="9.6640625" style="407" bestFit="1" customWidth="1"/>
    <col min="15103" max="15103" width="9.1640625" style="407"/>
    <col min="15104" max="15104" width="9.6640625" style="407" bestFit="1" customWidth="1"/>
    <col min="15105" max="15105" width="3.1640625" style="407" customWidth="1"/>
    <col min="15106" max="15107" width="9.1640625" style="407"/>
    <col min="15108" max="15108" width="9.6640625" style="407" bestFit="1" customWidth="1"/>
    <col min="15109" max="15109" width="9" style="407" customWidth="1"/>
    <col min="15110" max="15111" width="9.1640625" style="407"/>
    <col min="15112" max="15112" width="9.6640625" style="407" bestFit="1" customWidth="1"/>
    <col min="15113" max="15113" width="2.33203125" style="407" customWidth="1"/>
    <col min="15114" max="15116" width="9.1640625" style="407"/>
    <col min="15117" max="15117" width="3.1640625" style="407" customWidth="1"/>
    <col min="15118" max="15118" width="9.6640625" style="407" bestFit="1" customWidth="1"/>
    <col min="15119" max="15119" width="9.1640625" style="407"/>
    <col min="15120" max="15120" width="9.6640625" style="407" bestFit="1" customWidth="1"/>
    <col min="15121" max="15121" width="3.1640625" style="407" customWidth="1"/>
    <col min="15122" max="15356" width="9.1640625" style="407"/>
    <col min="15357" max="15357" width="18" style="407" customWidth="1"/>
    <col min="15358" max="15358" width="9.6640625" style="407" bestFit="1" customWidth="1"/>
    <col min="15359" max="15359" width="9.1640625" style="407"/>
    <col min="15360" max="15360" width="9.6640625" style="407" bestFit="1" customWidth="1"/>
    <col min="15361" max="15361" width="3.1640625" style="407" customWidth="1"/>
    <col min="15362" max="15363" width="9.1640625" style="407"/>
    <col min="15364" max="15364" width="9.6640625" style="407" bestFit="1" customWidth="1"/>
    <col min="15365" max="15365" width="9" style="407" customWidth="1"/>
    <col min="15366" max="15367" width="9.1640625" style="407"/>
    <col min="15368" max="15368" width="9.6640625" style="407" bestFit="1" customWidth="1"/>
    <col min="15369" max="15369" width="2.33203125" style="407" customWidth="1"/>
    <col min="15370" max="15372" width="9.1640625" style="407"/>
    <col min="15373" max="15373" width="3.1640625" style="407" customWidth="1"/>
    <col min="15374" max="15374" width="9.6640625" style="407" bestFit="1" customWidth="1"/>
    <col min="15375" max="15375" width="9.1640625" style="407"/>
    <col min="15376" max="15376" width="9.6640625" style="407" bestFit="1" customWidth="1"/>
    <col min="15377" max="15377" width="3.1640625" style="407" customWidth="1"/>
    <col min="15378" max="15612" width="9.1640625" style="407"/>
    <col min="15613" max="15613" width="18" style="407" customWidth="1"/>
    <col min="15614" max="15614" width="9.6640625" style="407" bestFit="1" customWidth="1"/>
    <col min="15615" max="15615" width="9.1640625" style="407"/>
    <col min="15616" max="15616" width="9.6640625" style="407" bestFit="1" customWidth="1"/>
    <col min="15617" max="15617" width="3.1640625" style="407" customWidth="1"/>
    <col min="15618" max="15619" width="9.1640625" style="407"/>
    <col min="15620" max="15620" width="9.6640625" style="407" bestFit="1" customWidth="1"/>
    <col min="15621" max="15621" width="9" style="407" customWidth="1"/>
    <col min="15622" max="15623" width="9.1640625" style="407"/>
    <col min="15624" max="15624" width="9.6640625" style="407" bestFit="1" customWidth="1"/>
    <col min="15625" max="15625" width="2.33203125" style="407" customWidth="1"/>
    <col min="15626" max="15628" width="9.1640625" style="407"/>
    <col min="15629" max="15629" width="3.1640625" style="407" customWidth="1"/>
    <col min="15630" max="15630" width="9.6640625" style="407" bestFit="1" customWidth="1"/>
    <col min="15631" max="15631" width="9.1640625" style="407"/>
    <col min="15632" max="15632" width="9.6640625" style="407" bestFit="1" customWidth="1"/>
    <col min="15633" max="15633" width="3.1640625" style="407" customWidth="1"/>
    <col min="15634" max="15868" width="9.1640625" style="407"/>
    <col min="15869" max="15869" width="18" style="407" customWidth="1"/>
    <col min="15870" max="15870" width="9.6640625" style="407" bestFit="1" customWidth="1"/>
    <col min="15871" max="15871" width="9.1640625" style="407"/>
    <col min="15872" max="15872" width="9.6640625" style="407" bestFit="1" customWidth="1"/>
    <col min="15873" max="15873" width="3.1640625" style="407" customWidth="1"/>
    <col min="15874" max="15875" width="9.1640625" style="407"/>
    <col min="15876" max="15876" width="9.6640625" style="407" bestFit="1" customWidth="1"/>
    <col min="15877" max="15877" width="9" style="407" customWidth="1"/>
    <col min="15878" max="15879" width="9.1640625" style="407"/>
    <col min="15880" max="15880" width="9.6640625" style="407" bestFit="1" customWidth="1"/>
    <col min="15881" max="15881" width="2.33203125" style="407" customWidth="1"/>
    <col min="15882" max="15884" width="9.1640625" style="407"/>
    <col min="15885" max="15885" width="3.1640625" style="407" customWidth="1"/>
    <col min="15886" max="15886" width="9.6640625" style="407" bestFit="1" customWidth="1"/>
    <col min="15887" max="15887" width="9.1640625" style="407"/>
    <col min="15888" max="15888" width="9.6640625" style="407" bestFit="1" customWidth="1"/>
    <col min="15889" max="15889" width="3.1640625" style="407" customWidth="1"/>
    <col min="15890" max="16124" width="9.1640625" style="407"/>
    <col min="16125" max="16125" width="18" style="407" customWidth="1"/>
    <col min="16126" max="16126" width="9.6640625" style="407" bestFit="1" customWidth="1"/>
    <col min="16127" max="16127" width="9.1640625" style="407"/>
    <col min="16128" max="16128" width="9.6640625" style="407" bestFit="1" customWidth="1"/>
    <col min="16129" max="16129" width="3.1640625" style="407" customWidth="1"/>
    <col min="16130" max="16131" width="9.1640625" style="407"/>
    <col min="16132" max="16132" width="9.6640625" style="407" bestFit="1" customWidth="1"/>
    <col min="16133" max="16133" width="9" style="407" customWidth="1"/>
    <col min="16134" max="16135" width="9.1640625" style="407"/>
    <col min="16136" max="16136" width="9.6640625" style="407" bestFit="1" customWidth="1"/>
    <col min="16137" max="16137" width="2.33203125" style="407" customWidth="1"/>
    <col min="16138" max="16140" width="9.1640625" style="407"/>
    <col min="16141" max="16141" width="3.1640625" style="407" customWidth="1"/>
    <col min="16142" max="16142" width="9.6640625" style="407" bestFit="1" customWidth="1"/>
    <col min="16143" max="16143" width="9.1640625" style="407"/>
    <col min="16144" max="16144" width="9.6640625" style="407" bestFit="1" customWidth="1"/>
    <col min="16145" max="16145" width="3.1640625" style="407" customWidth="1"/>
    <col min="16146" max="16384" width="9.1640625" style="407"/>
  </cols>
  <sheetData>
    <row r="1" spans="1:24" s="382" customFormat="1" ht="29.75" customHeight="1"/>
    <row r="2" spans="1:24" s="387" customFormat="1" ht="14">
      <c r="A2" s="383"/>
      <c r="B2" s="383" t="s">
        <v>283</v>
      </c>
      <c r="C2" s="384"/>
      <c r="D2" s="384"/>
      <c r="E2" s="385"/>
      <c r="F2" s="383" t="s">
        <v>284</v>
      </c>
      <c r="G2" s="384"/>
      <c r="H2" s="384"/>
      <c r="I2" s="384"/>
      <c r="J2" s="384"/>
      <c r="K2" s="384"/>
      <c r="L2" s="384"/>
      <c r="M2" s="385"/>
      <c r="N2" s="383" t="s">
        <v>285</v>
      </c>
      <c r="O2" s="384"/>
      <c r="P2" s="384"/>
      <c r="Q2" s="384"/>
      <c r="R2" s="383"/>
      <c r="S2" s="384"/>
      <c r="T2" s="386"/>
    </row>
    <row r="3" spans="1:24" s="387" customFormat="1" ht="14">
      <c r="A3" s="388"/>
      <c r="B3" s="388" t="s">
        <v>286</v>
      </c>
      <c r="C3" s="389"/>
      <c r="D3" s="389"/>
      <c r="E3" s="390"/>
      <c r="F3" s="388" t="s">
        <v>287</v>
      </c>
      <c r="G3" s="389"/>
      <c r="H3" s="389"/>
      <c r="I3" s="389"/>
      <c r="J3" s="389"/>
      <c r="K3" s="389"/>
      <c r="L3" s="389"/>
      <c r="M3" s="390"/>
      <c r="N3" s="388" t="s">
        <v>288</v>
      </c>
      <c r="O3" s="389"/>
      <c r="P3" s="389"/>
      <c r="Q3" s="389"/>
      <c r="R3" s="388"/>
      <c r="S3" s="389"/>
      <c r="T3" s="391"/>
    </row>
    <row r="4" spans="1:24" s="387" customFormat="1" ht="14">
      <c r="A4" s="388"/>
      <c r="B4" s="388"/>
      <c r="C4" s="389"/>
      <c r="D4" s="389"/>
      <c r="E4" s="390"/>
      <c r="F4" s="388" t="s">
        <v>289</v>
      </c>
      <c r="G4" s="389"/>
      <c r="H4" s="389"/>
      <c r="I4" s="390"/>
      <c r="J4" s="388" t="s">
        <v>290</v>
      </c>
      <c r="K4" s="389"/>
      <c r="L4" s="389"/>
      <c r="M4" s="390"/>
      <c r="N4" s="388" t="s">
        <v>224</v>
      </c>
      <c r="O4" s="389"/>
      <c r="P4" s="389"/>
      <c r="Q4" s="390"/>
      <c r="R4" s="388" t="s">
        <v>236</v>
      </c>
      <c r="S4" s="389"/>
      <c r="T4" s="391"/>
    </row>
    <row r="5" spans="1:24" s="387" customFormat="1" ht="14">
      <c r="A5" s="392"/>
      <c r="B5" s="392" t="s">
        <v>278</v>
      </c>
      <c r="C5" s="392" t="s">
        <v>291</v>
      </c>
      <c r="D5" s="392" t="s">
        <v>277</v>
      </c>
      <c r="E5" s="393"/>
      <c r="F5" s="392" t="str">
        <f>B5</f>
        <v>Low</v>
      </c>
      <c r="G5" s="392" t="str">
        <f>C5</f>
        <v>—</v>
      </c>
      <c r="H5" s="392" t="str">
        <f>D5</f>
        <v>High</v>
      </c>
      <c r="I5" s="392"/>
      <c r="J5" s="392" t="str">
        <f>F5</f>
        <v>Low</v>
      </c>
      <c r="K5" s="392" t="str">
        <f>G5</f>
        <v>—</v>
      </c>
      <c r="L5" s="392" t="str">
        <f>H5</f>
        <v>High</v>
      </c>
      <c r="M5" s="393"/>
      <c r="N5" s="392" t="str">
        <f>J5</f>
        <v>Low</v>
      </c>
      <c r="O5" s="392" t="str">
        <f>K5</f>
        <v>—</v>
      </c>
      <c r="P5" s="392" t="str">
        <f>L5</f>
        <v>High</v>
      </c>
      <c r="Q5" s="392" t="s">
        <v>291</v>
      </c>
      <c r="R5" s="392" t="s">
        <v>278</v>
      </c>
      <c r="S5" s="392" t="s">
        <v>291</v>
      </c>
      <c r="T5" s="392" t="s">
        <v>277</v>
      </c>
    </row>
    <row r="6" spans="1:24" s="387" customFormat="1" ht="14">
      <c r="A6" s="394" t="s">
        <v>292</v>
      </c>
      <c r="B6" s="395">
        <v>60.62</v>
      </c>
      <c r="C6" s="396" t="s">
        <v>291</v>
      </c>
      <c r="D6" s="395">
        <v>74.38</v>
      </c>
      <c r="E6" s="396"/>
      <c r="F6" s="397">
        <f>F8/F7</f>
        <v>30.313350631177006</v>
      </c>
      <c r="G6" s="397" t="s">
        <v>291</v>
      </c>
      <c r="H6" s="397">
        <f>H8/H7</f>
        <v>66.996771580111741</v>
      </c>
      <c r="I6" s="397"/>
      <c r="J6" s="397">
        <f>J8/J7</f>
        <v>18.380129788346647</v>
      </c>
      <c r="K6" s="397" t="s">
        <v>291</v>
      </c>
      <c r="L6" s="397">
        <f>L8/L7</f>
        <v>34.216169733438669</v>
      </c>
      <c r="M6" s="398"/>
      <c r="N6" s="399">
        <v>31.42</v>
      </c>
      <c r="O6" s="400" t="s">
        <v>291</v>
      </c>
      <c r="P6" s="399">
        <v>84.15</v>
      </c>
      <c r="Q6" s="398"/>
      <c r="R6" s="399">
        <v>60.44</v>
      </c>
      <c r="S6" s="400" t="str">
        <f>O6</f>
        <v>—</v>
      </c>
      <c r="T6" s="401">
        <v>118</v>
      </c>
    </row>
    <row r="7" spans="1:24" s="387" customFormat="1">
      <c r="A7" s="402" t="s">
        <v>293</v>
      </c>
      <c r="B7" s="403">
        <f>DCF!O23</f>
        <v>4320</v>
      </c>
      <c r="C7" s="404" t="s">
        <v>291</v>
      </c>
      <c r="D7" s="403">
        <f>B7</f>
        <v>4320</v>
      </c>
      <c r="E7" s="404"/>
      <c r="F7" s="405">
        <f>B7</f>
        <v>4320</v>
      </c>
      <c r="G7" s="405"/>
      <c r="H7" s="405">
        <f>D7</f>
        <v>4320</v>
      </c>
      <c r="I7" s="405"/>
      <c r="J7" s="405">
        <f>F7</f>
        <v>4320</v>
      </c>
      <c r="K7" s="405"/>
      <c r="L7" s="405">
        <f>H7</f>
        <v>4320</v>
      </c>
      <c r="M7" s="382"/>
      <c r="N7" s="405">
        <f>J7</f>
        <v>4320</v>
      </c>
      <c r="O7" s="382"/>
      <c r="P7" s="405">
        <f>L7</f>
        <v>4320</v>
      </c>
      <c r="Q7" s="382"/>
      <c r="R7" s="405">
        <f>N7</f>
        <v>4320</v>
      </c>
      <c r="S7" s="382"/>
      <c r="T7" s="406">
        <f>P7</f>
        <v>4320</v>
      </c>
      <c r="U7" s="407"/>
      <c r="V7" s="407"/>
      <c r="W7" s="407"/>
      <c r="X7" s="407"/>
    </row>
    <row r="8" spans="1:24" s="387" customFormat="1">
      <c r="A8" s="394" t="s">
        <v>294</v>
      </c>
      <c r="B8" s="408">
        <f>B7*B6</f>
        <v>261878.39999999999</v>
      </c>
      <c r="C8" s="396" t="s">
        <v>291</v>
      </c>
      <c r="D8" s="408">
        <f>D7*D6</f>
        <v>321321.59999999998</v>
      </c>
      <c r="E8" s="396"/>
      <c r="F8" s="408">
        <f>F10-F9</f>
        <v>130953.67472668467</v>
      </c>
      <c r="G8" s="409"/>
      <c r="H8" s="408">
        <f>H10-H9</f>
        <v>289426.0532260827</v>
      </c>
      <c r="I8" s="409"/>
      <c r="J8" s="408">
        <f>J10-J9</f>
        <v>79402.160685657509</v>
      </c>
      <c r="K8" s="409"/>
      <c r="L8" s="408">
        <f>L10-L9</f>
        <v>147813.85324845504</v>
      </c>
      <c r="M8" s="398"/>
      <c r="N8" s="408">
        <f>N7*N6</f>
        <v>135734.39999999999</v>
      </c>
      <c r="O8" s="396" t="s">
        <v>291</v>
      </c>
      <c r="P8" s="408">
        <f>P7*P6</f>
        <v>363528</v>
      </c>
      <c r="Q8" s="398"/>
      <c r="R8" s="408">
        <f>R7*R6</f>
        <v>261100.79999999999</v>
      </c>
      <c r="S8" s="396" t="s">
        <v>291</v>
      </c>
      <c r="T8" s="410">
        <f>T7*T6</f>
        <v>509760</v>
      </c>
      <c r="U8" s="407"/>
      <c r="V8" s="407"/>
      <c r="W8" s="407"/>
      <c r="X8" s="407"/>
    </row>
    <row r="9" spans="1:24" s="387" customFormat="1">
      <c r="A9" s="402" t="s">
        <v>295</v>
      </c>
      <c r="B9" s="411">
        <f>DCF!E35</f>
        <v>33694</v>
      </c>
      <c r="C9" s="404" t="s">
        <v>291</v>
      </c>
      <c r="D9" s="411">
        <f>B9</f>
        <v>33694</v>
      </c>
      <c r="E9" s="404"/>
      <c r="F9" s="411">
        <f>B9</f>
        <v>33694</v>
      </c>
      <c r="G9" s="405"/>
      <c r="H9" s="411">
        <f>D9</f>
        <v>33694</v>
      </c>
      <c r="I9" s="405"/>
      <c r="J9" s="411">
        <f>F9</f>
        <v>33694</v>
      </c>
      <c r="K9" s="405"/>
      <c r="L9" s="411">
        <f>H9</f>
        <v>33694</v>
      </c>
      <c r="M9" s="382"/>
      <c r="N9" s="411">
        <f>J9</f>
        <v>33694</v>
      </c>
      <c r="O9" s="404" t="s">
        <v>291</v>
      </c>
      <c r="P9" s="411">
        <f>L9</f>
        <v>33694</v>
      </c>
      <c r="Q9" s="382"/>
      <c r="R9" s="411">
        <f>N9</f>
        <v>33694</v>
      </c>
      <c r="S9" s="404" t="s">
        <v>291</v>
      </c>
      <c r="T9" s="412">
        <f>R9</f>
        <v>33694</v>
      </c>
      <c r="U9" s="407"/>
      <c r="V9" s="407"/>
      <c r="W9" s="407"/>
      <c r="X9" s="407"/>
    </row>
    <row r="10" spans="1:24" s="387" customFormat="1">
      <c r="A10" s="394" t="s">
        <v>296</v>
      </c>
      <c r="B10" s="408">
        <f>B8+B9</f>
        <v>295572.40000000002</v>
      </c>
      <c r="C10" s="396" t="s">
        <v>291</v>
      </c>
      <c r="D10" s="408">
        <f>D8+D9</f>
        <v>355015.6</v>
      </c>
      <c r="E10" s="404"/>
      <c r="F10" s="408">
        <f>F12*F11</f>
        <v>164647.67472668467</v>
      </c>
      <c r="G10" s="409" t="s">
        <v>291</v>
      </c>
      <c r="H10" s="408">
        <f>H12*H11</f>
        <v>323120.0532260827</v>
      </c>
      <c r="I10" s="409"/>
      <c r="J10" s="408">
        <f>J12*J11</f>
        <v>113096.16068565751</v>
      </c>
      <c r="K10" s="409" t="s">
        <v>291</v>
      </c>
      <c r="L10" s="408">
        <f>L12*L11</f>
        <v>181507.85324845504</v>
      </c>
      <c r="M10" s="382"/>
      <c r="N10" s="408">
        <f>N8+N9</f>
        <v>169428.4</v>
      </c>
      <c r="O10" s="396" t="s">
        <v>291</v>
      </c>
      <c r="P10" s="408">
        <f>P8+P9</f>
        <v>397222</v>
      </c>
      <c r="Q10" s="382"/>
      <c r="R10" s="408">
        <f>R8+R9</f>
        <v>294794.8</v>
      </c>
      <c r="S10" s="396" t="s">
        <v>291</v>
      </c>
      <c r="T10" s="410">
        <f>T8+T9</f>
        <v>543454</v>
      </c>
      <c r="U10" s="407"/>
      <c r="V10" s="407"/>
      <c r="W10" s="407"/>
      <c r="X10" s="407"/>
    </row>
    <row r="11" spans="1:24" s="387" customFormat="1">
      <c r="A11" s="402" t="s">
        <v>297</v>
      </c>
      <c r="B11" s="405">
        <f>'Coca-cola Comp'!E14</f>
        <v>12077.227465264943</v>
      </c>
      <c r="C11" s="404"/>
      <c r="D11" s="405">
        <f>B11</f>
        <v>12077.227465264943</v>
      </c>
      <c r="E11" s="404"/>
      <c r="F11" s="413">
        <f>B11</f>
        <v>12077.227465264943</v>
      </c>
      <c r="G11" s="404"/>
      <c r="H11" s="413">
        <f>D11</f>
        <v>12077.227465264943</v>
      </c>
      <c r="I11" s="413"/>
      <c r="J11" s="413">
        <f>F11</f>
        <v>12077.227465264943</v>
      </c>
      <c r="K11" s="404"/>
      <c r="L11" s="413">
        <f>H11</f>
        <v>12077.227465264943</v>
      </c>
      <c r="M11" s="382"/>
      <c r="N11" s="405">
        <f>J11</f>
        <v>12077.227465264943</v>
      </c>
      <c r="O11" s="404"/>
      <c r="P11" s="405">
        <f>L11</f>
        <v>12077.227465264943</v>
      </c>
      <c r="Q11" s="382"/>
      <c r="R11" s="405">
        <f>N11</f>
        <v>12077.227465264943</v>
      </c>
      <c r="S11" s="404"/>
      <c r="T11" s="406">
        <f>R11</f>
        <v>12077.227465264943</v>
      </c>
      <c r="U11" s="407"/>
      <c r="V11" s="407"/>
      <c r="W11" s="407"/>
      <c r="X11" s="407"/>
    </row>
    <row r="12" spans="1:24" s="387" customFormat="1">
      <c r="A12" s="414" t="s">
        <v>228</v>
      </c>
      <c r="B12" s="415">
        <f>B10/B11</f>
        <v>24.473530936640014</v>
      </c>
      <c r="C12" s="416" t="s">
        <v>291</v>
      </c>
      <c r="D12" s="415">
        <f>D10/D11</f>
        <v>29.395455291460959</v>
      </c>
      <c r="E12" s="416"/>
      <c r="F12" s="539">
        <f>MIN('Comparable Analysis'!L8:L11)</f>
        <v>13.632903346419893</v>
      </c>
      <c r="G12" s="416" t="s">
        <v>291</v>
      </c>
      <c r="H12" s="539">
        <f>MAX('Comparable Analysis'!L8:L11)</f>
        <v>26.75448931929132</v>
      </c>
      <c r="I12" s="539"/>
      <c r="J12" s="539">
        <f>MIN('Comparable Analysis'!L13:L16)</f>
        <v>9.3644142259414238</v>
      </c>
      <c r="K12" s="416" t="s">
        <v>291</v>
      </c>
      <c r="L12" s="539">
        <f>MAX('Comparable Analysis'!L13:L16)</f>
        <v>15.028933898155509</v>
      </c>
      <c r="M12" s="417"/>
      <c r="N12" s="415">
        <f>N10/N11</f>
        <v>14.0287496022816</v>
      </c>
      <c r="O12" s="416" t="s">
        <v>291</v>
      </c>
      <c r="P12" s="415">
        <f>P10/P11</f>
        <v>32.890164662580197</v>
      </c>
      <c r="Q12" s="417"/>
      <c r="R12" s="415">
        <f>R10/R11</f>
        <v>24.409145298277526</v>
      </c>
      <c r="S12" s="416" t="s">
        <v>291</v>
      </c>
      <c r="T12" s="418">
        <f>T10/T11</f>
        <v>44.998241654636089</v>
      </c>
      <c r="U12" s="407"/>
      <c r="V12" s="407"/>
      <c r="W12" s="407"/>
      <c r="X12" s="407"/>
    </row>
    <row r="13" spans="1:24" s="387" customFormat="1">
      <c r="B13" s="382"/>
      <c r="C13" s="382"/>
      <c r="D13" s="382"/>
      <c r="E13" s="382"/>
      <c r="F13" s="382"/>
      <c r="G13" s="382"/>
      <c r="H13" s="382"/>
      <c r="I13" s="382"/>
      <c r="J13" s="382"/>
      <c r="K13" s="382"/>
      <c r="L13" s="382"/>
      <c r="M13" s="382"/>
      <c r="N13" s="382"/>
      <c r="O13" s="382"/>
      <c r="P13" s="382"/>
      <c r="Q13" s="382"/>
      <c r="R13" s="382"/>
      <c r="S13" s="382"/>
      <c r="T13" s="382"/>
      <c r="U13" s="407"/>
      <c r="V13" s="407"/>
      <c r="W13" s="407"/>
      <c r="X13" s="407"/>
    </row>
    <row r="14" spans="1:24" s="387" customFormat="1">
      <c r="A14" s="419" t="s">
        <v>298</v>
      </c>
      <c r="B14" s="420" t="s">
        <v>278</v>
      </c>
      <c r="C14" s="420" t="s">
        <v>299</v>
      </c>
      <c r="D14" s="421" t="s">
        <v>277</v>
      </c>
      <c r="E14" s="382"/>
      <c r="F14" s="382"/>
      <c r="G14" s="382"/>
      <c r="H14" s="382"/>
      <c r="I14" s="382"/>
      <c r="J14" s="382"/>
      <c r="K14" s="382"/>
      <c r="L14" s="382"/>
      <c r="M14" s="382"/>
      <c r="N14" s="382"/>
      <c r="O14" s="382"/>
      <c r="P14" s="382"/>
      <c r="Q14" s="382"/>
      <c r="R14" s="422"/>
      <c r="S14" s="382"/>
      <c r="T14" s="423"/>
      <c r="U14" s="407"/>
      <c r="V14" s="407"/>
      <c r="W14" s="407"/>
      <c r="X14" s="407"/>
    </row>
    <row r="15" spans="1:24" s="387" customFormat="1">
      <c r="A15" s="402" t="s">
        <v>300</v>
      </c>
      <c r="B15" s="424">
        <f>R6</f>
        <v>60.44</v>
      </c>
      <c r="C15" s="424">
        <f t="shared" ref="C15:C19" si="0">D15-B15</f>
        <v>57.56</v>
      </c>
      <c r="D15" s="425">
        <f>T6</f>
        <v>118</v>
      </c>
      <c r="E15" s="382"/>
      <c r="F15" s="382"/>
      <c r="G15" s="382"/>
      <c r="H15" s="382"/>
      <c r="I15" s="382"/>
      <c r="J15" s="382"/>
      <c r="K15" s="382"/>
      <c r="L15" s="382"/>
      <c r="M15" s="382"/>
      <c r="N15" s="382"/>
      <c r="O15" s="382"/>
      <c r="P15" s="382"/>
      <c r="Q15" s="382"/>
      <c r="R15" s="382"/>
      <c r="S15" s="382"/>
      <c r="T15" s="382"/>
      <c r="U15" s="407"/>
      <c r="V15" s="407"/>
      <c r="W15" s="407"/>
      <c r="X15" s="407"/>
    </row>
    <row r="16" spans="1:24" s="387" customFormat="1">
      <c r="A16" s="402" t="s">
        <v>301</v>
      </c>
      <c r="B16" s="426">
        <f>N6</f>
        <v>31.42</v>
      </c>
      <c r="C16" s="424">
        <f t="shared" si="0"/>
        <v>52.730000000000004</v>
      </c>
      <c r="D16" s="427">
        <f>P6</f>
        <v>84.15</v>
      </c>
      <c r="E16" s="382"/>
      <c r="F16" s="382"/>
      <c r="G16" s="382"/>
      <c r="H16" s="382"/>
      <c r="I16" s="382"/>
      <c r="J16" s="382"/>
      <c r="K16" s="382"/>
      <c r="L16" s="382"/>
      <c r="M16" s="382"/>
      <c r="N16" s="382"/>
      <c r="O16" s="382"/>
      <c r="P16" s="382"/>
      <c r="Q16" s="382"/>
      <c r="R16" s="382"/>
      <c r="S16" s="382"/>
      <c r="T16" s="382"/>
      <c r="U16" s="407"/>
      <c r="V16" s="407"/>
      <c r="W16" s="407"/>
      <c r="X16" s="407"/>
    </row>
    <row r="17" spans="1:24" s="387" customFormat="1">
      <c r="A17" s="402" t="s">
        <v>302</v>
      </c>
      <c r="B17" s="426">
        <f>J6</f>
        <v>18.380129788346647</v>
      </c>
      <c r="C17" s="424">
        <f t="shared" si="0"/>
        <v>15.836039945092022</v>
      </c>
      <c r="D17" s="427">
        <f>L6</f>
        <v>34.216169733438669</v>
      </c>
      <c r="E17" s="382"/>
      <c r="F17" s="382"/>
      <c r="G17" s="382"/>
      <c r="H17" s="382"/>
      <c r="I17" s="382"/>
      <c r="J17" s="382"/>
      <c r="K17" s="382"/>
      <c r="L17" s="382"/>
      <c r="M17" s="382"/>
      <c r="N17" s="382"/>
      <c r="O17" s="382"/>
      <c r="P17" s="382"/>
      <c r="Q17" s="382"/>
      <c r="R17" s="382"/>
      <c r="S17" s="382"/>
      <c r="T17" s="382"/>
      <c r="U17" s="407"/>
      <c r="V17" s="407"/>
      <c r="W17" s="407"/>
      <c r="X17" s="407"/>
    </row>
    <row r="18" spans="1:24" s="387" customFormat="1">
      <c r="A18" s="402" t="s">
        <v>303</v>
      </c>
      <c r="B18" s="424">
        <f>F6</f>
        <v>30.313350631177006</v>
      </c>
      <c r="C18" s="424">
        <f t="shared" si="0"/>
        <v>36.683420948934739</v>
      </c>
      <c r="D18" s="425">
        <f>H6</f>
        <v>66.996771580111741</v>
      </c>
      <c r="E18" s="382"/>
      <c r="F18" s="382"/>
      <c r="G18" s="382"/>
      <c r="H18" s="382"/>
      <c r="I18" s="382"/>
      <c r="J18" s="382"/>
      <c r="K18" s="382"/>
      <c r="L18" s="428"/>
      <c r="M18" s="382"/>
      <c r="N18" s="382"/>
      <c r="O18" s="382"/>
      <c r="P18" s="382"/>
      <c r="Q18" s="382"/>
      <c r="R18" s="382"/>
      <c r="S18" s="382"/>
      <c r="T18" s="382"/>
      <c r="U18" s="407"/>
      <c r="V18" s="407"/>
      <c r="W18" s="407"/>
      <c r="X18" s="407"/>
    </row>
    <row r="19" spans="1:24" s="387" customFormat="1">
      <c r="A19" s="414" t="s">
        <v>304</v>
      </c>
      <c r="B19" s="429">
        <f>B6</f>
        <v>60.62</v>
      </c>
      <c r="C19" s="429">
        <f t="shared" si="0"/>
        <v>13.759999999999998</v>
      </c>
      <c r="D19" s="430">
        <f>D6</f>
        <v>74.38</v>
      </c>
      <c r="E19" s="382"/>
      <c r="F19" s="382"/>
      <c r="R19" s="382"/>
      <c r="S19" s="382"/>
      <c r="T19" s="382"/>
      <c r="U19" s="407"/>
      <c r="V19" s="407"/>
      <c r="W19" s="407"/>
      <c r="X19" s="407"/>
    </row>
    <row r="20" spans="1:24" s="387" customFormat="1">
      <c r="A20" s="382"/>
      <c r="B20" s="382"/>
      <c r="C20" s="382"/>
      <c r="D20" s="382"/>
      <c r="E20" s="382"/>
      <c r="F20" s="382"/>
      <c r="R20" s="382"/>
      <c r="S20" s="382"/>
      <c r="T20" s="382"/>
      <c r="U20" s="407"/>
      <c r="V20" s="407"/>
      <c r="W20" s="407"/>
      <c r="X20" s="407"/>
    </row>
    <row r="21" spans="1:24" s="387" customFormat="1">
      <c r="A21" s="207"/>
      <c r="B21" s="207"/>
      <c r="C21" s="207"/>
      <c r="D21" s="207"/>
      <c r="E21" s="382"/>
      <c r="F21" s="382"/>
      <c r="R21" s="382"/>
      <c r="S21" s="382"/>
      <c r="T21" s="382"/>
      <c r="U21" s="407"/>
      <c r="V21" s="407"/>
      <c r="W21" s="407"/>
      <c r="X21" s="407"/>
    </row>
    <row r="22" spans="1:24" s="387" customFormat="1">
      <c r="A22" s="207"/>
      <c r="B22" s="207"/>
      <c r="C22" s="207"/>
      <c r="D22" s="207"/>
      <c r="E22" s="382"/>
      <c r="F22" s="382"/>
      <c r="R22" s="382"/>
      <c r="S22" s="382"/>
      <c r="T22" s="382"/>
      <c r="U22" s="407"/>
      <c r="V22" s="407"/>
      <c r="W22" s="407"/>
      <c r="X22" s="407"/>
    </row>
    <row r="23" spans="1:24" s="387" customFormat="1">
      <c r="A23" s="207"/>
      <c r="B23" s="207"/>
      <c r="C23" s="207"/>
      <c r="D23" s="207"/>
      <c r="E23" s="382"/>
      <c r="F23" s="382"/>
      <c r="R23" s="382"/>
      <c r="S23" s="382"/>
      <c r="T23" s="382"/>
      <c r="U23" s="407"/>
      <c r="V23" s="407"/>
      <c r="W23" s="407"/>
      <c r="X23" s="407"/>
    </row>
    <row r="24" spans="1:24" s="387" customFormat="1" ht="4" customHeight="1">
      <c r="A24" s="207"/>
      <c r="B24" s="207"/>
      <c r="C24" s="207"/>
      <c r="D24" s="207"/>
      <c r="E24" s="382"/>
      <c r="F24" s="382"/>
      <c r="R24" s="382"/>
      <c r="S24" s="382"/>
      <c r="T24" s="382"/>
      <c r="U24" s="407"/>
      <c r="V24" s="407"/>
      <c r="W24" s="407"/>
      <c r="X24" s="407"/>
    </row>
    <row r="25" spans="1:24" s="387" customFormat="1">
      <c r="A25" s="207"/>
      <c r="B25" s="207"/>
      <c r="C25" s="207"/>
      <c r="D25" s="207"/>
      <c r="E25" s="382"/>
      <c r="F25" s="382"/>
      <c r="R25" s="382"/>
      <c r="S25" s="382"/>
      <c r="T25" s="382"/>
      <c r="U25" s="407"/>
      <c r="V25" s="407"/>
      <c r="W25" s="407"/>
      <c r="X25" s="407"/>
    </row>
    <row r="26" spans="1:24" s="387" customFormat="1">
      <c r="A26" s="207"/>
      <c r="B26" s="207"/>
      <c r="C26" s="207"/>
      <c r="D26" s="207"/>
      <c r="E26" s="382"/>
      <c r="F26" s="382"/>
      <c r="R26" s="382"/>
      <c r="S26" s="382"/>
      <c r="T26" s="382"/>
      <c r="U26" s="407"/>
      <c r="V26" s="407"/>
      <c r="W26" s="407"/>
      <c r="X26" s="407"/>
    </row>
    <row r="27" spans="1:24" s="387" customFormat="1">
      <c r="A27" s="207"/>
      <c r="B27" s="207"/>
      <c r="C27" s="207"/>
      <c r="D27" s="207"/>
      <c r="E27" s="382"/>
      <c r="F27" s="382"/>
      <c r="R27" s="382"/>
      <c r="S27" s="382"/>
      <c r="T27" s="382"/>
      <c r="U27" s="407"/>
      <c r="V27" s="407"/>
      <c r="W27" s="407"/>
      <c r="X27" s="407"/>
    </row>
    <row r="28" spans="1:24" s="387" customFormat="1">
      <c r="A28" s="207"/>
      <c r="B28" s="207"/>
      <c r="C28" s="207"/>
      <c r="D28" s="207"/>
      <c r="E28" s="382"/>
      <c r="F28" s="382"/>
      <c r="R28" s="382"/>
      <c r="S28" s="382"/>
      <c r="T28" s="382"/>
      <c r="U28" s="407"/>
      <c r="V28" s="407"/>
      <c r="W28" s="407"/>
      <c r="X28" s="407"/>
    </row>
    <row r="29" spans="1:24" s="387" customFormat="1">
      <c r="A29" s="382"/>
      <c r="B29" s="382"/>
      <c r="C29" s="382"/>
      <c r="D29" s="382"/>
      <c r="E29" s="382"/>
      <c r="F29" s="382"/>
      <c r="R29" s="382"/>
      <c r="S29" s="382"/>
      <c r="T29" s="382"/>
      <c r="U29" s="407"/>
      <c r="V29" s="407"/>
      <c r="W29" s="407"/>
      <c r="X29" s="407"/>
    </row>
    <row r="30" spans="1:24" s="387" customFormat="1">
      <c r="A30" s="382"/>
      <c r="B30" s="382"/>
      <c r="C30" s="382"/>
      <c r="D30" s="382"/>
      <c r="E30" s="382"/>
      <c r="F30" s="382"/>
      <c r="R30" s="382"/>
      <c r="S30" s="382"/>
      <c r="T30" s="382"/>
      <c r="U30" s="407"/>
      <c r="V30" s="407"/>
      <c r="W30" s="407"/>
      <c r="X30" s="407"/>
    </row>
    <row r="31" spans="1:24" s="387" customFormat="1">
      <c r="A31" s="382"/>
      <c r="B31" s="382"/>
      <c r="C31" s="382"/>
      <c r="D31" s="382"/>
      <c r="E31" s="382"/>
      <c r="F31" s="382"/>
      <c r="R31" s="382"/>
      <c r="S31" s="382"/>
      <c r="T31" s="382"/>
      <c r="U31" s="407"/>
      <c r="V31" s="407"/>
      <c r="W31" s="407"/>
      <c r="X31" s="407"/>
    </row>
    <row r="32" spans="1:24" s="387" customFormat="1">
      <c r="A32" s="382"/>
      <c r="B32" s="382"/>
      <c r="C32" s="382"/>
      <c r="D32" s="382"/>
      <c r="E32" s="382"/>
      <c r="F32" s="382"/>
      <c r="R32" s="382"/>
      <c r="S32" s="382"/>
      <c r="T32" s="382"/>
      <c r="U32" s="407"/>
      <c r="V32" s="407"/>
      <c r="W32" s="407"/>
      <c r="X32" s="407"/>
    </row>
    <row r="33" spans="1:21" s="387" customFormat="1" ht="14">
      <c r="A33" s="382"/>
      <c r="B33" s="382"/>
      <c r="C33" s="382"/>
      <c r="D33" s="382"/>
      <c r="E33" s="382"/>
      <c r="F33" s="382"/>
      <c r="R33" s="382"/>
      <c r="S33" s="382"/>
      <c r="T33" s="382"/>
    </row>
    <row r="34" spans="1:21" s="387" customFormat="1" ht="14">
      <c r="A34" s="382"/>
      <c r="B34" s="382"/>
      <c r="C34" s="382"/>
      <c r="D34" s="382"/>
      <c r="E34" s="382"/>
      <c r="F34" s="382"/>
      <c r="R34" s="382"/>
      <c r="S34" s="382"/>
      <c r="T34" s="382"/>
    </row>
    <row r="35" spans="1:21" s="387" customFormat="1" ht="14">
      <c r="A35" s="382"/>
      <c r="B35" s="382"/>
      <c r="C35" s="382"/>
      <c r="D35" s="382"/>
      <c r="E35" s="382"/>
      <c r="F35" s="382"/>
      <c r="R35" s="382"/>
      <c r="S35" s="382"/>
      <c r="T35" s="382"/>
    </row>
    <row r="36" spans="1:21" s="387" customFormat="1" ht="14">
      <c r="A36" s="382"/>
      <c r="B36" s="382"/>
      <c r="C36" s="382"/>
      <c r="D36" s="382"/>
      <c r="E36" s="382"/>
      <c r="F36" s="382"/>
      <c r="R36" s="382"/>
      <c r="S36" s="382"/>
      <c r="T36" s="382"/>
    </row>
    <row r="37" spans="1:21" s="387" customFormat="1" ht="14">
      <c r="A37" s="382"/>
      <c r="B37" s="382"/>
      <c r="C37" s="382"/>
      <c r="D37" s="382"/>
      <c r="E37" s="382"/>
      <c r="F37" s="398"/>
      <c r="R37" s="382"/>
      <c r="S37" s="382"/>
      <c r="T37" s="382"/>
    </row>
    <row r="38" spans="1:21" s="387" customFormat="1" ht="14">
      <c r="A38" s="382"/>
      <c r="B38" s="382"/>
      <c r="C38" s="382"/>
      <c r="D38" s="382"/>
      <c r="E38" s="382"/>
      <c r="F38" s="431"/>
      <c r="R38" s="382"/>
      <c r="S38" s="382"/>
      <c r="T38" s="382"/>
    </row>
    <row r="39" spans="1:21" s="387" customFormat="1">
      <c r="A39" s="382"/>
      <c r="B39" s="382"/>
      <c r="C39" s="382"/>
      <c r="D39" s="382"/>
      <c r="E39" s="382"/>
      <c r="F39" s="382"/>
      <c r="R39" s="382"/>
      <c r="S39" s="382"/>
      <c r="T39" s="382"/>
      <c r="U39" s="407"/>
    </row>
    <row r="40" spans="1:21" s="387" customFormat="1">
      <c r="A40" s="382"/>
      <c r="B40" s="382"/>
      <c r="C40" s="382"/>
      <c r="D40" s="382"/>
      <c r="E40" s="382"/>
      <c r="F40" s="382"/>
      <c r="R40" s="382"/>
      <c r="S40" s="382"/>
      <c r="T40" s="382"/>
      <c r="U40" s="407"/>
    </row>
    <row r="41" spans="1:21" s="387" customFormat="1">
      <c r="A41" s="382"/>
      <c r="B41" s="382"/>
      <c r="C41" s="382"/>
      <c r="D41" s="382"/>
      <c r="E41" s="382"/>
      <c r="F41" s="382"/>
      <c r="R41" s="382"/>
      <c r="S41" s="382"/>
      <c r="T41" s="382"/>
      <c r="U41" s="407"/>
    </row>
    <row r="42" spans="1:21" s="387" customFormat="1">
      <c r="A42" s="382"/>
      <c r="B42" s="382"/>
      <c r="C42" s="382"/>
      <c r="D42" s="382"/>
      <c r="E42" s="382"/>
      <c r="F42" s="382"/>
      <c r="R42" s="382"/>
      <c r="S42" s="382"/>
      <c r="T42" s="382"/>
      <c r="U42" s="407"/>
    </row>
    <row r="43" spans="1:21" s="387" customFormat="1">
      <c r="A43" s="382"/>
      <c r="B43" s="382"/>
      <c r="C43" s="382"/>
      <c r="D43" s="382"/>
      <c r="E43" s="382"/>
      <c r="F43" s="382"/>
      <c r="R43" s="382"/>
      <c r="S43" s="382"/>
      <c r="T43" s="382"/>
      <c r="U43" s="407"/>
    </row>
    <row r="44" spans="1:21">
      <c r="A44" s="207"/>
      <c r="B44" s="207"/>
      <c r="C44" s="207"/>
      <c r="D44" s="207"/>
      <c r="E44" s="207"/>
      <c r="F44" s="207"/>
      <c r="R44" s="207"/>
      <c r="S44" s="207"/>
      <c r="T44" s="207"/>
    </row>
    <row r="45" spans="1:21">
      <c r="A45" s="207"/>
      <c r="B45" s="207"/>
      <c r="C45" s="207"/>
      <c r="D45" s="207"/>
      <c r="E45" s="207"/>
      <c r="F45" s="207"/>
      <c r="R45" s="207"/>
      <c r="S45" s="207"/>
      <c r="T45" s="207"/>
    </row>
    <row r="46" spans="1:21">
      <c r="A46" s="207"/>
      <c r="B46" s="207"/>
      <c r="C46" s="207"/>
      <c r="D46" s="207"/>
      <c r="E46" s="207"/>
      <c r="F46" s="207"/>
      <c r="R46" s="207"/>
      <c r="S46" s="207"/>
      <c r="T46" s="207"/>
    </row>
    <row r="47" spans="1:21">
      <c r="A47" s="207"/>
      <c r="B47" s="207"/>
      <c r="C47" s="207"/>
      <c r="D47" s="207"/>
      <c r="E47" s="207"/>
      <c r="F47" s="207"/>
      <c r="R47" s="207"/>
      <c r="S47" s="207"/>
      <c r="T47" s="207"/>
    </row>
    <row r="48" spans="1:21">
      <c r="A48" s="207"/>
      <c r="B48" s="207"/>
      <c r="C48" s="207"/>
      <c r="D48" s="207"/>
      <c r="E48" s="207"/>
      <c r="F48" s="207"/>
      <c r="G48" s="207"/>
      <c r="H48" s="207"/>
      <c r="I48" s="207"/>
      <c r="J48" s="207"/>
      <c r="K48" s="207"/>
      <c r="L48" s="207"/>
      <c r="M48" s="207"/>
      <c r="N48" s="207"/>
      <c r="O48" s="207"/>
      <c r="P48" s="207"/>
      <c r="Q48" s="207"/>
      <c r="R48" s="207"/>
      <c r="S48" s="207"/>
      <c r="T48" s="207"/>
    </row>
    <row r="49" spans="1:20">
      <c r="A49" s="207"/>
      <c r="B49" s="207"/>
      <c r="C49" s="207"/>
      <c r="D49" s="207"/>
      <c r="E49" s="207"/>
      <c r="F49" s="207"/>
      <c r="G49" s="207"/>
      <c r="H49" s="207"/>
      <c r="I49" s="207"/>
      <c r="J49" s="207"/>
      <c r="K49" s="207"/>
      <c r="L49" s="207"/>
      <c r="M49" s="207"/>
      <c r="N49" s="207"/>
      <c r="O49" s="207"/>
      <c r="P49" s="207"/>
      <c r="Q49" s="207"/>
      <c r="R49" s="207"/>
      <c r="S49" s="207"/>
      <c r="T49" s="207"/>
    </row>
  </sheetData>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7CA81-43D0-4626-A676-4D65AE51B3D7}">
  <dimension ref="A1:R36"/>
  <sheetViews>
    <sheetView topLeftCell="A2" workbookViewId="0">
      <pane ySplit="5" topLeftCell="A7" activePane="bottomLeft" state="frozen"/>
      <selection activeCell="A2" sqref="A2"/>
      <selection pane="bottomLeft" activeCell="F12" sqref="F12"/>
    </sheetView>
  </sheetViews>
  <sheetFormatPr baseColWidth="10" defaultColWidth="8.83203125" defaultRowHeight="15"/>
  <cols>
    <col min="2" max="2" width="17.6640625" customWidth="1"/>
    <col min="3" max="3" width="11.1640625" customWidth="1"/>
    <col min="4" max="4" width="12" customWidth="1"/>
    <col min="5" max="5" width="11.1640625" customWidth="1"/>
    <col min="6" max="6" width="11.1640625" bestFit="1" customWidth="1"/>
  </cols>
  <sheetData>
    <row r="1" spans="1:18">
      <c r="A1" s="445" t="s">
        <v>250</v>
      </c>
      <c r="B1" s="131"/>
      <c r="C1" s="131"/>
      <c r="D1" s="131"/>
      <c r="E1" s="131"/>
      <c r="F1" s="131"/>
      <c r="G1" s="131"/>
      <c r="H1" s="131"/>
      <c r="I1" s="131"/>
      <c r="J1" s="131"/>
      <c r="K1" s="131"/>
      <c r="L1" s="131"/>
      <c r="M1" s="131"/>
      <c r="N1" s="280"/>
      <c r="O1" s="280"/>
      <c r="P1" s="280"/>
      <c r="Q1" s="280"/>
      <c r="R1" s="446"/>
    </row>
    <row r="2" spans="1:18">
      <c r="A2" s="132" t="s">
        <v>251</v>
      </c>
      <c r="B2" s="132"/>
      <c r="C2" s="281"/>
      <c r="D2" s="281"/>
      <c r="E2" s="281"/>
      <c r="F2" s="281"/>
      <c r="G2" s="282"/>
      <c r="H2" s="282"/>
      <c r="I2" s="282"/>
      <c r="J2" s="282"/>
      <c r="K2" s="282"/>
      <c r="L2" s="282"/>
      <c r="M2" s="282"/>
      <c r="N2" s="280"/>
      <c r="O2" s="280"/>
      <c r="P2" s="280"/>
      <c r="Q2" s="280"/>
      <c r="R2" s="446"/>
    </row>
    <row r="3" spans="1:18" ht="26">
      <c r="A3" s="447"/>
      <c r="B3" s="132"/>
      <c r="C3" s="545" t="s">
        <v>252</v>
      </c>
      <c r="D3" s="545" t="s">
        <v>253</v>
      </c>
      <c r="E3" s="449" t="s">
        <v>254</v>
      </c>
      <c r="F3" s="450" t="s">
        <v>255</v>
      </c>
      <c r="G3" s="451"/>
      <c r="H3" s="432" t="s">
        <v>256</v>
      </c>
      <c r="I3" s="433"/>
      <c r="J3" s="432" t="s">
        <v>257</v>
      </c>
      <c r="K3" s="433"/>
      <c r="L3" s="432" t="s">
        <v>258</v>
      </c>
      <c r="M3" s="433"/>
      <c r="N3" s="280"/>
      <c r="O3" s="280"/>
      <c r="P3" s="280"/>
      <c r="Q3" s="280"/>
      <c r="R3" s="446"/>
    </row>
    <row r="4" spans="1:18">
      <c r="A4" s="452"/>
      <c r="B4" s="137"/>
      <c r="C4" s="545"/>
      <c r="D4" s="545"/>
      <c r="E4" s="448" t="s">
        <v>259</v>
      </c>
      <c r="F4" s="453" t="s">
        <v>260</v>
      </c>
      <c r="G4" s="453" t="s">
        <v>261</v>
      </c>
      <c r="H4" s="434" t="s">
        <v>260</v>
      </c>
      <c r="I4" s="434" t="s">
        <v>261</v>
      </c>
      <c r="J4" s="434" t="s">
        <v>260</v>
      </c>
      <c r="K4" s="434" t="s">
        <v>261</v>
      </c>
      <c r="L4" s="434" t="s">
        <v>260</v>
      </c>
      <c r="M4" s="434" t="s">
        <v>261</v>
      </c>
      <c r="N4" s="280"/>
      <c r="O4" s="280"/>
      <c r="P4" s="280"/>
      <c r="Q4" s="280"/>
      <c r="R4" s="446"/>
    </row>
    <row r="5" spans="1:18">
      <c r="A5" s="135"/>
      <c r="B5" s="133" t="s">
        <v>262</v>
      </c>
      <c r="C5" s="546"/>
      <c r="D5" s="546"/>
      <c r="E5" s="454" t="s">
        <v>263</v>
      </c>
      <c r="F5" s="435" t="s">
        <v>264</v>
      </c>
      <c r="G5" s="436" t="s">
        <v>264</v>
      </c>
      <c r="H5" s="435" t="s">
        <v>264</v>
      </c>
      <c r="I5" s="436" t="s">
        <v>264</v>
      </c>
      <c r="J5" s="435" t="s">
        <v>264</v>
      </c>
      <c r="K5" s="436" t="s">
        <v>264</v>
      </c>
      <c r="L5" s="435" t="s">
        <v>264</v>
      </c>
      <c r="M5" s="436" t="s">
        <v>264</v>
      </c>
      <c r="N5" s="280"/>
      <c r="O5" s="280"/>
      <c r="P5" s="280"/>
      <c r="Q5" s="280"/>
      <c r="R5" s="446"/>
    </row>
    <row r="6" spans="1:18">
      <c r="A6" s="455"/>
      <c r="B6" s="456" t="s">
        <v>265</v>
      </c>
      <c r="C6" s="457">
        <f>'Coca-cola Comp'!D54</f>
        <v>71.73</v>
      </c>
      <c r="D6" s="458">
        <f>'Coca-cola Comp'!D56</f>
        <v>309371.49</v>
      </c>
      <c r="E6" s="458">
        <f>'Coca-cola Comp'!D64</f>
        <v>351454.49</v>
      </c>
      <c r="F6" s="440">
        <f>$C6/I27</f>
        <v>29.14811400620826</v>
      </c>
      <c r="G6" s="440">
        <f ca="1">$C6/J27</f>
        <v>29.519074882550093</v>
      </c>
      <c r="H6" s="440">
        <f t="shared" ref="H6:M6" si="0">$E6/C27</f>
        <v>7.4680625146086994</v>
      </c>
      <c r="I6" s="440">
        <f t="shared" si="0"/>
        <v>7.3037092684954281</v>
      </c>
      <c r="J6" s="440">
        <f t="shared" si="0"/>
        <v>35.173587870296238</v>
      </c>
      <c r="K6" s="440">
        <f t="shared" si="0"/>
        <v>30.508202256944443</v>
      </c>
      <c r="L6" s="440">
        <f t="shared" si="0"/>
        <v>31.756979307852173</v>
      </c>
      <c r="M6" s="440">
        <f t="shared" si="0"/>
        <v>29.10059374229812</v>
      </c>
      <c r="N6" s="280"/>
      <c r="O6" s="280"/>
      <c r="P6" s="280"/>
      <c r="Q6" s="280"/>
      <c r="R6" s="119"/>
    </row>
    <row r="7" spans="1:18">
      <c r="A7" s="283"/>
      <c r="B7" s="284" t="s">
        <v>266</v>
      </c>
      <c r="C7" s="285"/>
      <c r="D7" s="285"/>
      <c r="E7" s="285"/>
      <c r="F7" s="285"/>
      <c r="G7" s="285"/>
      <c r="H7" s="285"/>
      <c r="I7" s="285"/>
      <c r="J7" s="285"/>
      <c r="K7" s="285"/>
      <c r="L7" s="285"/>
      <c r="M7" s="285"/>
      <c r="N7" s="280"/>
      <c r="O7" s="280"/>
      <c r="P7" s="280"/>
      <c r="Q7" s="280"/>
      <c r="R7" s="119"/>
    </row>
    <row r="8" spans="1:18">
      <c r="A8" s="459"/>
      <c r="B8" s="460" t="s">
        <v>267</v>
      </c>
      <c r="C8" s="461">
        <f>Pepsi!D50</f>
        <v>132.49</v>
      </c>
      <c r="D8" s="462">
        <f>Pepsi!D52</f>
        <v>182836.2</v>
      </c>
      <c r="E8" s="462">
        <f>Pepsi!D60</f>
        <v>218767.2</v>
      </c>
      <c r="F8" s="437">
        <f>$C8/I28</f>
        <v>19.089183545625392</v>
      </c>
      <c r="G8" s="437">
        <f>$C8/J28</f>
        <v>19.915546438400686</v>
      </c>
      <c r="H8" s="437">
        <f t="shared" ref="H8:M8" si="1">$E8/C28</f>
        <v>2.3816839767457054</v>
      </c>
      <c r="I8" s="437">
        <f t="shared" si="1"/>
        <v>2.3786800043492446</v>
      </c>
      <c r="J8" s="437">
        <f t="shared" si="1"/>
        <v>16.975805074881663</v>
      </c>
      <c r="K8" s="437">
        <f t="shared" si="1"/>
        <v>17.651353118678028</v>
      </c>
      <c r="L8" s="437">
        <f t="shared" si="1"/>
        <v>13.632903346419893</v>
      </c>
      <c r="M8" s="437">
        <f t="shared" si="1"/>
        <v>14.061592435622725</v>
      </c>
      <c r="N8" s="280"/>
      <c r="O8" s="280"/>
      <c r="P8" s="280"/>
      <c r="Q8" s="280"/>
      <c r="R8" s="119"/>
    </row>
    <row r="9" spans="1:18">
      <c r="A9" s="459"/>
      <c r="B9" s="460" t="s">
        <v>268</v>
      </c>
      <c r="C9" s="461">
        <f>Nestle!D50</f>
        <v>87.86</v>
      </c>
      <c r="D9" s="462">
        <f>Nestle!D52</f>
        <v>228348.13999999998</v>
      </c>
      <c r="E9" s="462">
        <f>Nestle!D60</f>
        <v>287128.14</v>
      </c>
      <c r="F9" s="437">
        <f t="shared" ref="F9:G9" si="2">$C9/I29</f>
        <v>20.980167217934582</v>
      </c>
      <c r="G9" s="437">
        <f t="shared" si="2"/>
        <v>24.099993161524889</v>
      </c>
      <c r="H9" s="437">
        <f t="shared" ref="H9:M9" si="3">$E9/C29</f>
        <v>3.1430275631061586</v>
      </c>
      <c r="I9" s="437">
        <f t="shared" si="3"/>
        <v>3.0965788799075455</v>
      </c>
      <c r="J9" s="437">
        <f t="shared" si="3"/>
        <v>19.500688671556642</v>
      </c>
      <c r="K9" s="437">
        <f t="shared" si="3"/>
        <v>21.994326341661466</v>
      </c>
      <c r="L9" s="437">
        <f t="shared" si="3"/>
        <v>15.684919698459522</v>
      </c>
      <c r="M9" s="437">
        <f t="shared" si="3"/>
        <v>17.203215999486375</v>
      </c>
      <c r="N9" s="280"/>
      <c r="O9" s="280"/>
      <c r="P9" s="280"/>
      <c r="Q9" s="280"/>
      <c r="R9" s="119"/>
    </row>
    <row r="10" spans="1:18">
      <c r="A10" s="459"/>
      <c r="B10" s="460" t="s">
        <v>269</v>
      </c>
      <c r="C10" s="461">
        <f>'keurig dr pepper'!Q50</f>
        <v>34.43</v>
      </c>
      <c r="D10" s="462">
        <f>'keurig dr pepper'!Q52</f>
        <v>47110.568999999996</v>
      </c>
      <c r="E10" s="462">
        <f>'keurig dr pepper'!Q60</f>
        <v>62154.568999999996</v>
      </c>
      <c r="F10" s="437">
        <f t="shared" ref="F10:G10" si="4">$C10/I30</f>
        <v>32.692969465648858</v>
      </c>
      <c r="G10" s="437">
        <f t="shared" si="4"/>
        <v>36.230510700221366</v>
      </c>
      <c r="H10" s="437">
        <f t="shared" ref="H10:M10" si="5">$E10/C30</f>
        <v>4.0488938179923126</v>
      </c>
      <c r="I10" s="437">
        <f t="shared" si="5"/>
        <v>3.8465645240284183</v>
      </c>
      <c r="J10" s="437">
        <f t="shared" si="5"/>
        <v>23.988641065225782</v>
      </c>
      <c r="K10" s="437">
        <f t="shared" si="5"/>
        <v>25.853384008774277</v>
      </c>
      <c r="L10" s="437">
        <f t="shared" si="5"/>
        <v>19.756697075651619</v>
      </c>
      <c r="M10" s="437">
        <f t="shared" si="5"/>
        <v>20.799234939436086</v>
      </c>
      <c r="N10" s="280"/>
      <c r="O10" s="280"/>
      <c r="P10" s="280"/>
      <c r="Q10" s="280"/>
      <c r="R10" s="119"/>
    </row>
    <row r="11" spans="1:18">
      <c r="A11" s="459"/>
      <c r="B11" s="463" t="s">
        <v>270</v>
      </c>
      <c r="C11" s="461">
        <f>Monster!D41</f>
        <v>59.98</v>
      </c>
      <c r="D11" s="462">
        <f>Monster!D43</f>
        <v>54771.336799999997</v>
      </c>
      <c r="E11" s="462">
        <f>Monster!D51</f>
        <v>53796.000800000002</v>
      </c>
      <c r="F11" s="437">
        <f>$C11/I31</f>
        <v>40.25503782517189</v>
      </c>
      <c r="G11" s="437">
        <f>$C11/J31</f>
        <v>33.990044789928881</v>
      </c>
      <c r="H11" s="437">
        <f t="shared" ref="H11:M11" si="6">$E11/C31</f>
        <v>7.1797798099459094</v>
      </c>
      <c r="I11" s="437">
        <f t="shared" si="6"/>
        <v>6.7107017571230108</v>
      </c>
      <c r="J11" s="437">
        <f t="shared" si="6"/>
        <v>27.869330164213327</v>
      </c>
      <c r="K11" s="437">
        <f t="shared" si="6"/>
        <v>26.048537399956381</v>
      </c>
      <c r="L11" s="437">
        <f t="shared" si="6"/>
        <v>26.75448931929132</v>
      </c>
      <c r="M11" s="437">
        <f t="shared" si="6"/>
        <v>25.006532684635314</v>
      </c>
      <c r="N11" s="280"/>
      <c r="O11" s="280"/>
      <c r="P11" s="280"/>
      <c r="Q11" s="280"/>
      <c r="R11" s="119"/>
    </row>
    <row r="12" spans="1:18">
      <c r="A12" s="283"/>
      <c r="B12" s="284" t="s">
        <v>271</v>
      </c>
      <c r="C12" s="285"/>
      <c r="D12" s="285"/>
      <c r="E12" s="285"/>
      <c r="F12" s="285"/>
      <c r="G12" s="285"/>
      <c r="H12" s="285"/>
      <c r="I12" s="285"/>
      <c r="J12" s="285"/>
      <c r="K12" s="285"/>
      <c r="L12" s="285"/>
      <c r="M12" s="285"/>
      <c r="N12" s="280"/>
      <c r="O12" s="280"/>
      <c r="P12" s="280"/>
      <c r="Q12" s="280"/>
      <c r="R12" s="119"/>
    </row>
    <row r="13" spans="1:18">
      <c r="A13" s="459"/>
      <c r="B13" s="463" t="s">
        <v>272</v>
      </c>
      <c r="C13" s="461">
        <f>'Anheuser-Busch InBev'!D54</f>
        <v>66.010000000000005</v>
      </c>
      <c r="D13" s="462">
        <f>'Anheuser-Busch InBev'!D56</f>
        <v>134396.36000000002</v>
      </c>
      <c r="E13" s="462">
        <f>'Anheuser-Busch InBev'!D64</f>
        <v>196952.36000000002</v>
      </c>
      <c r="F13" s="437">
        <f t="shared" ref="F13:G16" si="7">$C13/I32</f>
        <v>23.044310845431259</v>
      </c>
      <c r="G13" s="437">
        <f t="shared" si="7"/>
        <v>22.59756336951606</v>
      </c>
      <c r="H13" s="437">
        <f t="shared" ref="H13:M16" si="8">$E13/C32</f>
        <v>3.2952810868692279</v>
      </c>
      <c r="I13" s="437">
        <f t="shared" si="8"/>
        <v>3.2675072750314604</v>
      </c>
      <c r="J13" s="437">
        <f t="shared" si="8"/>
        <v>12.716448863636364</v>
      </c>
      <c r="K13" s="437">
        <f t="shared" si="8"/>
        <v>12.609270068057874</v>
      </c>
      <c r="L13" s="437">
        <f t="shared" si="8"/>
        <v>9.3644142259414238</v>
      </c>
      <c r="M13" s="437">
        <f t="shared" si="8"/>
        <v>9.2854875814986855</v>
      </c>
      <c r="N13" s="280"/>
      <c r="O13" s="280"/>
      <c r="P13" s="280"/>
      <c r="Q13" s="280"/>
      <c r="R13" s="119"/>
    </row>
    <row r="14" spans="1:18">
      <c r="A14" s="459"/>
      <c r="B14" s="463" t="s">
        <v>273</v>
      </c>
      <c r="C14" s="461">
        <f>'Kirin Holdings'!D54</f>
        <v>13</v>
      </c>
      <c r="D14" s="462">
        <f>'Kirin Holdings'!D56</f>
        <v>10529.220000000001</v>
      </c>
      <c r="E14" s="462">
        <f>'Kirin Holdings'!D64</f>
        <v>18213.311549295777</v>
      </c>
      <c r="F14" s="437">
        <f t="shared" si="7"/>
        <v>25.683671281822239</v>
      </c>
      <c r="G14" s="437">
        <f t="shared" si="7"/>
        <v>25.216837598764592</v>
      </c>
      <c r="H14" s="437">
        <f t="shared" si="8"/>
        <v>1.1060155791283302</v>
      </c>
      <c r="I14" s="437">
        <f t="shared" si="8"/>
        <v>1.090745147069359</v>
      </c>
      <c r="J14" s="437">
        <f t="shared" si="8"/>
        <v>20.63419690441998</v>
      </c>
      <c r="K14" s="437">
        <f t="shared" si="8"/>
        <v>20.349306611854065</v>
      </c>
      <c r="L14" s="437">
        <f t="shared" si="8"/>
        <v>11.700447154839354</v>
      </c>
      <c r="M14" s="437">
        <f t="shared" si="8"/>
        <v>11.538902519565449</v>
      </c>
      <c r="N14" s="280"/>
      <c r="O14" s="280"/>
      <c r="P14" s="280"/>
      <c r="Q14" s="280"/>
      <c r="R14" s="119"/>
    </row>
    <row r="15" spans="1:18">
      <c r="A15" s="464"/>
      <c r="B15" s="465" t="s">
        <v>274</v>
      </c>
      <c r="C15" s="466">
        <f>'The Boston Beer Comp'!D50</f>
        <v>239.65</v>
      </c>
      <c r="D15" s="467">
        <f>'The Boston Beer Comp'!D52</f>
        <v>2706.8467500000002</v>
      </c>
      <c r="E15" s="467">
        <f>'The Boston Beer Comp'!D60</f>
        <v>2554.39275</v>
      </c>
      <c r="F15" s="437">
        <f t="shared" si="7"/>
        <v>47.235478683306873</v>
      </c>
      <c r="G15" s="437">
        <f t="shared" si="7"/>
        <v>39.230190822012084</v>
      </c>
      <c r="H15" s="437">
        <f t="shared" si="8"/>
        <v>1.268994861211987</v>
      </c>
      <c r="I15" s="437">
        <f t="shared" si="8"/>
        <v>1.2466793017113538</v>
      </c>
      <c r="J15" s="437">
        <f t="shared" si="8"/>
        <v>33.622375712424187</v>
      </c>
      <c r="K15" s="437">
        <f t="shared" si="8"/>
        <v>28.500367221720101</v>
      </c>
      <c r="L15" s="437">
        <f t="shared" si="8"/>
        <v>15.028933898155509</v>
      </c>
      <c r="M15" s="437">
        <f t="shared" si="8"/>
        <v>13.785090888729497</v>
      </c>
      <c r="N15" s="280"/>
      <c r="O15" s="280"/>
      <c r="P15" s="280"/>
      <c r="Q15" s="280"/>
      <c r="R15" s="119"/>
    </row>
    <row r="16" spans="1:18">
      <c r="A16" s="143"/>
      <c r="B16" s="468" t="s">
        <v>275</v>
      </c>
      <c r="C16" s="469">
        <f>'Diageo plc'!D54</f>
        <v>115.1</v>
      </c>
      <c r="D16" s="470">
        <f>'Diageo plc'!D56</f>
        <v>63940.351999999992</v>
      </c>
      <c r="E16" s="470">
        <f>'Diageo plc'!D64</f>
        <v>86349.351999999984</v>
      </c>
      <c r="F16" s="437">
        <f t="shared" si="7"/>
        <v>66.591447028423772</v>
      </c>
      <c r="G16" s="437">
        <f t="shared" si="7"/>
        <v>16.00509104274704</v>
      </c>
      <c r="H16" s="437">
        <f t="shared" si="8"/>
        <v>4.2601683358823808</v>
      </c>
      <c r="I16" s="437">
        <f t="shared" si="8"/>
        <v>4.1469564254671285</v>
      </c>
      <c r="J16" s="437">
        <f t="shared" si="8"/>
        <v>14.389160473254455</v>
      </c>
      <c r="K16" s="437">
        <f t="shared" si="8"/>
        <v>14.006775502048528</v>
      </c>
      <c r="L16" s="437">
        <f t="shared" si="8"/>
        <v>13.296789651986447</v>
      </c>
      <c r="M16" s="437">
        <f t="shared" si="8"/>
        <v>12.943433906343275</v>
      </c>
      <c r="N16" s="280"/>
      <c r="O16" s="280"/>
      <c r="P16" s="280"/>
      <c r="Q16" s="280"/>
      <c r="R16" s="119"/>
    </row>
    <row r="17" spans="1:18">
      <c r="A17" s="471"/>
      <c r="B17" s="472" t="s">
        <v>276</v>
      </c>
      <c r="C17" s="471"/>
      <c r="D17" s="471"/>
      <c r="E17" s="471"/>
      <c r="F17" s="438">
        <f>MEDIAN(F7:F16)</f>
        <v>29.18832037373555</v>
      </c>
      <c r="G17" s="438">
        <f t="shared" ref="G17:K17" si="9">MEDIAN(G7:G16)</f>
        <v>24.658415380144739</v>
      </c>
      <c r="H17" s="438">
        <f t="shared" si="9"/>
        <v>3.2191543249876933</v>
      </c>
      <c r="I17" s="438">
        <f t="shared" si="9"/>
        <v>3.182043077469503</v>
      </c>
      <c r="J17" s="438">
        <f t="shared" si="9"/>
        <v>20.067442787988313</v>
      </c>
      <c r="K17" s="438">
        <f t="shared" si="9"/>
        <v>21.171816476757765</v>
      </c>
      <c r="L17" s="438">
        <f>MEDIAN(L7:L16)</f>
        <v>14.330918622287701</v>
      </c>
      <c r="M17" s="438">
        <f>MEDIAN(M7:M16)</f>
        <v>13.92334166217611</v>
      </c>
      <c r="N17" s="280"/>
      <c r="O17" s="280"/>
      <c r="P17" s="280"/>
      <c r="Q17" s="280"/>
      <c r="R17" s="145"/>
    </row>
    <row r="18" spans="1:18">
      <c r="A18" s="471"/>
      <c r="B18" s="472" t="s">
        <v>277</v>
      </c>
      <c r="C18" s="471"/>
      <c r="D18" s="471"/>
      <c r="E18" s="471"/>
      <c r="F18" s="438">
        <f>MAX(F7:F16)</f>
        <v>66.591447028423772</v>
      </c>
      <c r="G18" s="438">
        <f t="shared" ref="G18:K18" si="10">MAX(G7:G16)</f>
        <v>39.230190822012084</v>
      </c>
      <c r="H18" s="438">
        <f t="shared" si="10"/>
        <v>7.1797798099459094</v>
      </c>
      <c r="I18" s="438">
        <f t="shared" si="10"/>
        <v>6.7107017571230108</v>
      </c>
      <c r="J18" s="438">
        <f t="shared" si="10"/>
        <v>33.622375712424187</v>
      </c>
      <c r="K18" s="438">
        <f t="shared" si="10"/>
        <v>28.500367221720101</v>
      </c>
      <c r="L18" s="438">
        <f>MAX(L7:L16)</f>
        <v>26.75448931929132</v>
      </c>
      <c r="M18" s="438">
        <f>MAX(M7:M16)</f>
        <v>25.006532684635314</v>
      </c>
      <c r="N18" s="280"/>
      <c r="O18" s="280"/>
      <c r="P18" s="280"/>
      <c r="Q18" s="280"/>
      <c r="R18" s="145"/>
    </row>
    <row r="19" spans="1:18">
      <c r="A19" s="473"/>
      <c r="B19" s="474" t="s">
        <v>278</v>
      </c>
      <c r="C19" s="473"/>
      <c r="D19" s="473"/>
      <c r="E19" s="473"/>
      <c r="F19" s="439">
        <f>MIN(F7:F16)</f>
        <v>19.089183545625392</v>
      </c>
      <c r="G19" s="439">
        <f t="shared" ref="G19:K19" si="11">MIN(G7:G16)</f>
        <v>16.00509104274704</v>
      </c>
      <c r="H19" s="439">
        <f t="shared" si="11"/>
        <v>1.1060155791283302</v>
      </c>
      <c r="I19" s="439">
        <f t="shared" si="11"/>
        <v>1.090745147069359</v>
      </c>
      <c r="J19" s="439">
        <f t="shared" si="11"/>
        <v>12.716448863636364</v>
      </c>
      <c r="K19" s="439">
        <f t="shared" si="11"/>
        <v>12.609270068057874</v>
      </c>
      <c r="L19" s="439">
        <f>MIN(L7:L16)</f>
        <v>9.3644142259414238</v>
      </c>
      <c r="M19" s="439">
        <f>MIN(M7:M16)</f>
        <v>9.2854875814986855</v>
      </c>
      <c r="N19" s="280"/>
      <c r="O19" s="280"/>
      <c r="P19" s="280"/>
      <c r="Q19" s="280"/>
      <c r="R19" s="145"/>
    </row>
    <row r="20" spans="1:18">
      <c r="A20" s="280"/>
      <c r="B20" s="280"/>
      <c r="C20" s="280"/>
      <c r="D20" s="280"/>
      <c r="E20" s="280"/>
      <c r="F20" s="280"/>
      <c r="G20" s="280"/>
      <c r="H20" s="280"/>
      <c r="I20" s="280"/>
      <c r="J20" s="280"/>
      <c r="K20" s="280"/>
      <c r="L20" s="280"/>
      <c r="M20" s="280"/>
      <c r="N20" s="280"/>
      <c r="O20" s="280"/>
      <c r="P20" s="280"/>
      <c r="Q20" s="280"/>
      <c r="R20" s="280"/>
    </row>
    <row r="21" spans="1:18">
      <c r="A21" s="280"/>
      <c r="B21" s="280"/>
      <c r="C21" s="280"/>
      <c r="D21" s="280"/>
      <c r="E21" s="280"/>
      <c r="F21" s="280"/>
      <c r="G21" s="280"/>
      <c r="H21" s="280"/>
      <c r="I21" s="280"/>
      <c r="J21" s="280"/>
      <c r="K21" s="280"/>
      <c r="L21" s="280"/>
      <c r="M21" s="280"/>
      <c r="N21" s="280"/>
      <c r="O21" s="280"/>
      <c r="P21" s="280"/>
      <c r="Q21" s="280"/>
      <c r="R21" s="280"/>
    </row>
    <row r="22" spans="1:18">
      <c r="A22" s="445" t="s">
        <v>279</v>
      </c>
      <c r="B22" s="131"/>
      <c r="C22" s="131"/>
      <c r="D22" s="131"/>
      <c r="E22" s="131"/>
      <c r="F22" s="131"/>
      <c r="G22" s="131"/>
      <c r="H22" s="131"/>
      <c r="I22" s="131"/>
      <c r="J22" s="131"/>
      <c r="K22" s="280"/>
      <c r="L22" s="280"/>
      <c r="M22" s="280"/>
      <c r="N22" s="280"/>
      <c r="O22" s="280"/>
      <c r="P22" s="280"/>
      <c r="Q22" s="280"/>
      <c r="R22" s="446"/>
    </row>
    <row r="23" spans="1:18">
      <c r="A23" s="447"/>
      <c r="B23" s="132"/>
      <c r="C23" s="132"/>
      <c r="D23" s="132"/>
      <c r="E23" s="132"/>
      <c r="F23" s="132"/>
      <c r="G23" s="132"/>
      <c r="H23" s="132"/>
      <c r="I23" s="137"/>
      <c r="J23" s="137"/>
      <c r="K23" s="280"/>
      <c r="L23" s="280"/>
      <c r="M23" s="280"/>
      <c r="N23" s="280"/>
      <c r="O23" s="280"/>
      <c r="P23" s="280"/>
      <c r="Q23" s="280"/>
      <c r="R23" s="446"/>
    </row>
    <row r="24" spans="1:18">
      <c r="A24" s="447"/>
      <c r="B24" s="132"/>
      <c r="C24" s="133" t="s">
        <v>280</v>
      </c>
      <c r="D24" s="133"/>
      <c r="E24" s="133" t="s">
        <v>123</v>
      </c>
      <c r="F24" s="133"/>
      <c r="G24" s="133" t="s">
        <v>121</v>
      </c>
      <c r="H24" s="133"/>
      <c r="I24" s="133" t="s">
        <v>281</v>
      </c>
      <c r="J24" s="133"/>
      <c r="K24" s="280"/>
      <c r="L24" s="280"/>
      <c r="M24" s="280"/>
      <c r="N24" s="280"/>
      <c r="O24" s="280"/>
      <c r="P24" s="280"/>
      <c r="Q24" s="280"/>
      <c r="R24" s="446"/>
    </row>
    <row r="25" spans="1:18">
      <c r="A25" s="452"/>
      <c r="B25" s="137"/>
      <c r="C25" s="475" t="s">
        <v>260</v>
      </c>
      <c r="D25" s="475" t="s">
        <v>261</v>
      </c>
      <c r="E25" s="475" t="s">
        <v>260</v>
      </c>
      <c r="F25" s="475" t="s">
        <v>261</v>
      </c>
      <c r="G25" s="475" t="s">
        <v>260</v>
      </c>
      <c r="H25" s="475" t="s">
        <v>261</v>
      </c>
      <c r="I25" s="475" t="s">
        <v>260</v>
      </c>
      <c r="J25" s="476" t="s">
        <v>261</v>
      </c>
      <c r="K25" s="446"/>
      <c r="L25" s="280"/>
      <c r="M25" s="280"/>
      <c r="N25" s="280"/>
      <c r="O25" s="280"/>
      <c r="P25" s="280"/>
      <c r="Q25" s="280"/>
      <c r="R25" s="446"/>
    </row>
    <row r="26" spans="1:18">
      <c r="A26" s="135"/>
      <c r="B26" s="133" t="s">
        <v>262</v>
      </c>
      <c r="C26" s="138" t="s">
        <v>263</v>
      </c>
      <c r="D26" s="138" t="s">
        <v>263</v>
      </c>
      <c r="E26" s="138" t="s">
        <v>263</v>
      </c>
      <c r="F26" s="138" t="s">
        <v>263</v>
      </c>
      <c r="G26" s="138" t="s">
        <v>263</v>
      </c>
      <c r="H26" s="138" t="s">
        <v>263</v>
      </c>
      <c r="I26" s="138" t="s">
        <v>282</v>
      </c>
      <c r="J26" s="436" t="s">
        <v>282</v>
      </c>
      <c r="K26" s="446"/>
      <c r="L26" s="280"/>
      <c r="M26" s="280"/>
      <c r="N26" s="280"/>
      <c r="O26" s="280"/>
      <c r="P26" s="280"/>
      <c r="Q26" s="280"/>
      <c r="R26" s="446"/>
    </row>
    <row r="27" spans="1:18">
      <c r="A27" s="455"/>
      <c r="B27" s="456" t="s">
        <v>265</v>
      </c>
      <c r="C27" s="458">
        <f>'Coca-cola Comp'!D5</f>
        <v>47061</v>
      </c>
      <c r="D27" s="458">
        <f>'Coca-cola Comp'!E5</f>
        <v>48120</v>
      </c>
      <c r="E27" s="458">
        <f>'Coca-cola Comp'!D18</f>
        <v>9992</v>
      </c>
      <c r="F27" s="458">
        <f>'Coca-cola Comp'!E18</f>
        <v>11520</v>
      </c>
      <c r="G27" s="458">
        <f>'Coca-cola Comp'!D14</f>
        <v>11067</v>
      </c>
      <c r="H27" s="458">
        <f>'Coca-cola Comp'!E14</f>
        <v>12077.227465264943</v>
      </c>
      <c r="I27" s="457">
        <f>'Coca-cola Comp'!D46</f>
        <v>2.4608796296296296</v>
      </c>
      <c r="J27" s="457">
        <f ca="1">'Coca-cola Comp'!E46</f>
        <v>2.429954200306002</v>
      </c>
      <c r="K27" s="446"/>
      <c r="L27" s="280"/>
      <c r="M27" s="280"/>
      <c r="N27" s="280"/>
      <c r="O27" s="280"/>
      <c r="P27" s="280"/>
      <c r="Q27" s="280"/>
      <c r="R27" s="286"/>
    </row>
    <row r="28" spans="1:18">
      <c r="A28" s="477"/>
      <c r="B28" s="460" t="s">
        <v>267</v>
      </c>
      <c r="C28" s="478">
        <f>Pepsi!D5</f>
        <v>91854</v>
      </c>
      <c r="D28" s="478">
        <f>Pepsi!E5</f>
        <v>91970</v>
      </c>
      <c r="E28" s="478">
        <f>Pepsi!D18</f>
        <v>12887</v>
      </c>
      <c r="F28" s="478">
        <f>Pepsi!E18</f>
        <v>12393.792052605215</v>
      </c>
      <c r="G28" s="478">
        <f>Pepsi!D14</f>
        <v>16047</v>
      </c>
      <c r="H28" s="478">
        <f>Pepsi!E14</f>
        <v>15557.782733468324</v>
      </c>
      <c r="I28" s="479">
        <f>Pepsi!D37</f>
        <v>6.9405797101449274</v>
      </c>
      <c r="J28" s="479">
        <f>Pepsi!E37</f>
        <v>6.652591753371925</v>
      </c>
      <c r="K28" s="446"/>
      <c r="L28" s="280"/>
      <c r="M28" s="280"/>
      <c r="N28" s="280"/>
      <c r="O28" s="280"/>
      <c r="P28" s="280"/>
      <c r="Q28" s="280"/>
      <c r="R28" s="446"/>
    </row>
    <row r="29" spans="1:18">
      <c r="A29" s="535"/>
      <c r="B29" s="460" t="s">
        <v>268</v>
      </c>
      <c r="C29" s="536">
        <f>Nestle!D5</f>
        <v>91354</v>
      </c>
      <c r="D29" s="536">
        <f>Nestle!E5</f>
        <v>92724.31</v>
      </c>
      <c r="E29" s="536">
        <f>Nestle!D18</f>
        <v>14724</v>
      </c>
      <c r="F29" s="536">
        <f>Nestle!E18</f>
        <v>13054.645799999991</v>
      </c>
      <c r="G29" s="536">
        <f>Nestle!D14</f>
        <v>18306</v>
      </c>
      <c r="H29" s="536">
        <f>Nestle!E14</f>
        <v>16690.375799999991</v>
      </c>
      <c r="I29" s="537">
        <f>Nestle!D35</f>
        <v>4.1877645248172373</v>
      </c>
      <c r="J29" s="537">
        <f>Nestle!E35</f>
        <v>3.6456441879936534</v>
      </c>
      <c r="K29" s="446"/>
      <c r="L29" s="280"/>
      <c r="M29" s="280"/>
      <c r="N29" s="280"/>
      <c r="O29" s="280"/>
      <c r="P29" s="280"/>
      <c r="Q29" s="280"/>
      <c r="R29" s="446"/>
    </row>
    <row r="30" spans="1:18">
      <c r="A30" s="535"/>
      <c r="B30" s="460" t="s">
        <v>269</v>
      </c>
      <c r="C30" s="536">
        <f>'keurig dr pepper'!Q5</f>
        <v>15351</v>
      </c>
      <c r="D30" s="536">
        <f>'keurig dr pepper'!R5</f>
        <v>16158.462599999999</v>
      </c>
      <c r="E30" s="536">
        <f>'keurig dr pepper'!Q18</f>
        <v>2591</v>
      </c>
      <c r="F30" s="536">
        <f>'keurig dr pepper'!R18</f>
        <v>2404.1173479999989</v>
      </c>
      <c r="G30" s="536">
        <f>'keurig dr pepper'!Q14</f>
        <v>3146</v>
      </c>
      <c r="H30" s="536">
        <f>'keurig dr pepper'!R14</f>
        <v>2988.3103479999991</v>
      </c>
      <c r="I30" s="537">
        <f>'keurig dr pepper'!Q37</f>
        <v>1.0531316231820507</v>
      </c>
      <c r="J30" s="537">
        <f>'keurig dr pepper'!R37</f>
        <v>0.95030402096401134</v>
      </c>
      <c r="K30" s="446"/>
      <c r="L30" s="280"/>
      <c r="M30" s="280"/>
      <c r="N30" s="280"/>
      <c r="O30" s="280"/>
      <c r="P30" s="280"/>
      <c r="Q30" s="280"/>
      <c r="R30" s="446"/>
    </row>
    <row r="31" spans="1:18">
      <c r="A31" s="535"/>
      <c r="B31" s="463" t="s">
        <v>270</v>
      </c>
      <c r="C31" s="536">
        <f>Monster!D5</f>
        <v>7492.7089999999998</v>
      </c>
      <c r="D31" s="536">
        <f>Monster!E5</f>
        <v>8016.4493591</v>
      </c>
      <c r="E31" s="536">
        <f>Monster!D18</f>
        <v>1930.2940000000001</v>
      </c>
      <c r="F31" s="536">
        <f>Monster!E18</f>
        <v>2065.2215505999998</v>
      </c>
      <c r="G31" s="536">
        <f>Monster!D14</f>
        <v>2010.7280000000001</v>
      </c>
      <c r="H31" s="536">
        <f>Monster!E14</f>
        <v>2151.2778871999999</v>
      </c>
      <c r="I31" s="537">
        <f>Monster!D34</f>
        <v>1.4899998420196212</v>
      </c>
      <c r="J31" s="537">
        <f>Monster!E34</f>
        <v>1.764634332514085</v>
      </c>
      <c r="K31" s="446"/>
      <c r="L31" s="280"/>
      <c r="M31" s="280"/>
      <c r="N31" s="280"/>
      <c r="O31" s="280"/>
      <c r="P31" s="280"/>
      <c r="Q31" s="280"/>
      <c r="R31" s="446"/>
    </row>
    <row r="32" spans="1:18">
      <c r="A32" s="459"/>
      <c r="B32" s="463" t="s">
        <v>272</v>
      </c>
      <c r="C32" s="462">
        <f>'Anheuser-Busch InBev'!D5</f>
        <v>59768</v>
      </c>
      <c r="D32" s="462">
        <f>'Anheuser-Busch InBev'!E5</f>
        <v>60276.027999999998</v>
      </c>
      <c r="E32" s="462">
        <f>'Anheuser-Busch InBev'!D18</f>
        <v>15488</v>
      </c>
      <c r="F32" s="462">
        <f>'Anheuser-Busch InBev'!E18</f>
        <v>15619.647999999997</v>
      </c>
      <c r="G32" s="480">
        <f>'Anheuser-Busch InBev'!D14</f>
        <v>21032</v>
      </c>
      <c r="H32" s="480">
        <f>'Anheuser-Busch InBev'!E14</f>
        <v>21210.771999999997</v>
      </c>
      <c r="I32" s="461">
        <f>'Anheuser-Busch InBev'!D46</f>
        <v>2.8644814090019568</v>
      </c>
      <c r="J32" s="461">
        <f>'Anheuser-Busch InBev'!E46</f>
        <v>2.9211114012870518</v>
      </c>
      <c r="K32" s="446"/>
      <c r="L32" s="280"/>
      <c r="M32" s="280"/>
      <c r="N32" s="280"/>
      <c r="O32" s="280"/>
      <c r="P32" s="280"/>
      <c r="Q32" s="280"/>
      <c r="R32" s="446"/>
    </row>
    <row r="33" spans="1:18">
      <c r="A33" s="481"/>
      <c r="B33" s="463" t="s">
        <v>273</v>
      </c>
      <c r="C33" s="482">
        <f>'Kirin Holdings'!D5/142</f>
        <v>16467.5</v>
      </c>
      <c r="D33" s="482">
        <f>'Kirin Holdings'!E5/142</f>
        <v>16698.045000000002</v>
      </c>
      <c r="E33" s="482">
        <f>'Kirin Holdings'!D18/142</f>
        <v>882.67605633802816</v>
      </c>
      <c r="F33" s="482">
        <f>'Kirin Holdings'!E18/142</f>
        <v>895.03352112675873</v>
      </c>
      <c r="G33" s="483">
        <f>'Kirin Holdings'!D14/142</f>
        <v>1556.6338028169014</v>
      </c>
      <c r="H33" s="483">
        <f>'Kirin Holdings'!E14/142</f>
        <v>1578.4266760563364</v>
      </c>
      <c r="I33" s="484">
        <f>'Kirin Holdings'!D46/142</f>
        <v>0.50615816786289514</v>
      </c>
      <c r="J33" s="484">
        <f>'Kirin Holdings'!E46/142</f>
        <v>0.51552856098961786</v>
      </c>
      <c r="K33" s="446"/>
      <c r="L33" s="280"/>
      <c r="M33" s="280"/>
      <c r="N33" s="280"/>
      <c r="O33" s="280"/>
      <c r="P33" s="280"/>
      <c r="Q33" s="280"/>
      <c r="R33" s="446"/>
    </row>
    <row r="34" spans="1:18">
      <c r="A34" s="459"/>
      <c r="B34" s="465" t="s">
        <v>274</v>
      </c>
      <c r="C34" s="462">
        <f>'The Boston Beer Comp'!D5</f>
        <v>2012.9259999999999</v>
      </c>
      <c r="D34" s="462">
        <f>'The Boston Beer Comp'!E5</f>
        <v>2048.9573753999998</v>
      </c>
      <c r="E34" s="462">
        <f>'The Boston Beer Comp'!D18</f>
        <v>75.972999999999914</v>
      </c>
      <c r="F34" s="462">
        <f>'The Boston Beer Comp'!E18</f>
        <v>89.626660952399931</v>
      </c>
      <c r="G34" s="462">
        <f>'The Boston Beer Comp'!D14</f>
        <v>169.96499999999992</v>
      </c>
      <c r="H34" s="462">
        <f>'The Boston Beer Comp'!E14</f>
        <v>185.30111775239993</v>
      </c>
      <c r="I34" s="461">
        <f>'The Boston Beer Comp'!D43</f>
        <v>5.0735169131395477</v>
      </c>
      <c r="J34" s="461">
        <f>'The Boston Beer Comp'!E43</f>
        <v>6.1088155570615337</v>
      </c>
      <c r="K34" s="446"/>
      <c r="L34" s="280"/>
      <c r="M34" s="280"/>
      <c r="N34" s="280"/>
      <c r="O34" s="280"/>
      <c r="P34" s="280"/>
      <c r="Q34" s="280"/>
      <c r="R34" s="446"/>
    </row>
    <row r="35" spans="1:18">
      <c r="A35" s="464"/>
      <c r="B35" s="468" t="s">
        <v>275</v>
      </c>
      <c r="C35" s="467">
        <f>'Diageo plc'!D5</f>
        <v>20269</v>
      </c>
      <c r="D35" s="467">
        <f>'Diageo plc'!E5</f>
        <v>20822.343700000001</v>
      </c>
      <c r="E35" s="467">
        <f>'Diageo plc'!D18</f>
        <v>6001</v>
      </c>
      <c r="F35" s="467">
        <f>'Diageo plc'!E18</f>
        <v>6164.8273000000008</v>
      </c>
      <c r="G35" s="485">
        <f>'Diageo plc'!D14</f>
        <v>6494</v>
      </c>
      <c r="H35" s="485">
        <f>'Diageo plc'!E14</f>
        <v>6671.2862000000005</v>
      </c>
      <c r="I35" s="466">
        <f>'Diageo plc'!D46</f>
        <v>1.7284502009825815</v>
      </c>
      <c r="J35" s="466">
        <f>'Diageo plc'!E46</f>
        <v>7.1914617475518448</v>
      </c>
      <c r="K35" s="446"/>
      <c r="L35" s="280"/>
      <c r="M35" s="280"/>
      <c r="N35" s="280"/>
      <c r="O35" s="280"/>
      <c r="P35" s="280"/>
      <c r="Q35" s="280"/>
      <c r="R35" s="446"/>
    </row>
    <row r="36" spans="1:18">
      <c r="A36" s="280"/>
      <c r="B36" s="446"/>
      <c r="C36" s="280"/>
      <c r="D36" s="280"/>
      <c r="E36" s="280"/>
      <c r="F36" s="280"/>
      <c r="G36" s="280"/>
      <c r="H36" s="280"/>
      <c r="I36" s="280"/>
      <c r="J36" s="280"/>
      <c r="K36" s="280"/>
      <c r="L36" s="280"/>
      <c r="M36" s="280"/>
      <c r="N36" s="280"/>
      <c r="O36" s="280"/>
      <c r="P36" s="280"/>
      <c r="Q36" s="280"/>
      <c r="R36" s="280"/>
    </row>
  </sheetData>
  <mergeCells count="2">
    <mergeCell ref="C3:C5"/>
    <mergeCell ref="D3:D5"/>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11DE3-82A9-4AAB-B642-DBA39473CF36}">
  <dimension ref="A1:K64"/>
  <sheetViews>
    <sheetView workbookViewId="0">
      <selection activeCell="D56" sqref="D56"/>
    </sheetView>
  </sheetViews>
  <sheetFormatPr baseColWidth="10" defaultColWidth="8.83203125" defaultRowHeight="15"/>
  <cols>
    <col min="3" max="3" width="36" customWidth="1"/>
    <col min="4" max="4" width="10.6640625" customWidth="1"/>
    <col min="5" max="6" width="9.6640625" bestFit="1" customWidth="1"/>
  </cols>
  <sheetData>
    <row r="1" spans="1:11">
      <c r="A1" s="131" t="s">
        <v>305</v>
      </c>
      <c r="B1" s="486"/>
      <c r="C1" s="131"/>
      <c r="D1" s="131"/>
      <c r="E1" s="131"/>
      <c r="F1" s="446"/>
      <c r="G1" s="446"/>
      <c r="H1" s="446"/>
      <c r="I1" s="446"/>
      <c r="J1" s="446"/>
      <c r="K1" s="446"/>
    </row>
    <row r="2" spans="1:11">
      <c r="A2" s="132" t="s">
        <v>306</v>
      </c>
      <c r="B2" s="132"/>
      <c r="C2" s="132"/>
      <c r="D2" s="133"/>
      <c r="E2" s="135" t="s">
        <v>2</v>
      </c>
      <c r="F2" s="446"/>
      <c r="G2" s="286"/>
      <c r="H2" s="286"/>
      <c r="I2" s="446"/>
      <c r="J2" s="446"/>
      <c r="K2" s="446"/>
    </row>
    <row r="3" spans="1:11">
      <c r="A3" s="132"/>
      <c r="B3" s="132"/>
      <c r="C3" s="132"/>
      <c r="D3" s="137"/>
      <c r="E3" s="137"/>
      <c r="F3" s="446"/>
      <c r="G3" s="446"/>
      <c r="H3" s="446"/>
      <c r="I3" s="446"/>
      <c r="J3" s="446"/>
      <c r="K3" s="446"/>
    </row>
    <row r="4" spans="1:11">
      <c r="A4" s="133"/>
      <c r="B4" s="136"/>
      <c r="C4" s="138"/>
      <c r="D4" s="138" t="s">
        <v>6</v>
      </c>
      <c r="E4" s="138" t="s">
        <v>7</v>
      </c>
      <c r="F4" s="446"/>
      <c r="G4" s="446"/>
      <c r="H4" s="446"/>
      <c r="I4" s="446"/>
      <c r="J4" s="446"/>
      <c r="K4" s="446"/>
    </row>
    <row r="5" spans="1:11">
      <c r="A5" s="122" t="s">
        <v>106</v>
      </c>
      <c r="B5" s="119"/>
      <c r="C5" s="139"/>
      <c r="D5" s="287">
        <v>47061</v>
      </c>
      <c r="E5" s="487">
        <f>'Income Statement'!G7</f>
        <v>48120</v>
      </c>
      <c r="F5" s="280"/>
      <c r="G5" s="280"/>
      <c r="H5" s="280"/>
      <c r="I5" s="280"/>
      <c r="J5" s="280"/>
      <c r="K5" s="280"/>
    </row>
    <row r="6" spans="1:11">
      <c r="A6" s="119"/>
      <c r="B6" s="119"/>
      <c r="C6" s="488" t="s">
        <v>307</v>
      </c>
      <c r="D6" s="488"/>
      <c r="E6" s="288">
        <v>0.02</v>
      </c>
      <c r="F6" s="280"/>
      <c r="G6" s="280"/>
      <c r="H6" s="280"/>
      <c r="I6" s="280"/>
      <c r="J6" s="280"/>
      <c r="K6" s="280"/>
    </row>
    <row r="7" spans="1:11">
      <c r="A7" s="122"/>
      <c r="B7" s="119"/>
      <c r="C7" s="488"/>
      <c r="D7" s="488"/>
      <c r="E7" s="488"/>
      <c r="F7" s="280"/>
      <c r="G7" s="280"/>
      <c r="H7" s="280"/>
      <c r="I7" s="280"/>
      <c r="J7" s="280"/>
      <c r="K7" s="280"/>
    </row>
    <row r="8" spans="1:11">
      <c r="A8" s="122" t="s">
        <v>308</v>
      </c>
      <c r="B8" s="122"/>
      <c r="C8" s="489"/>
      <c r="D8" s="290">
        <v>17249</v>
      </c>
      <c r="E8" s="490">
        <f>'Income Statement'!G10</f>
        <v>18840.149231848027</v>
      </c>
      <c r="F8" s="280"/>
      <c r="G8" s="280"/>
      <c r="H8" s="280"/>
      <c r="I8" s="280"/>
      <c r="J8" s="280"/>
      <c r="K8" s="280"/>
    </row>
    <row r="9" spans="1:11">
      <c r="A9" s="119"/>
      <c r="B9" s="145" t="s">
        <v>309</v>
      </c>
      <c r="C9" s="488"/>
      <c r="D9" s="491">
        <v>0.37</v>
      </c>
      <c r="E9" s="491">
        <v>0.41</v>
      </c>
      <c r="F9" s="280"/>
      <c r="G9" s="280"/>
      <c r="H9" s="280"/>
      <c r="I9" s="280"/>
      <c r="J9" s="280"/>
      <c r="K9" s="280"/>
    </row>
    <row r="10" spans="1:11">
      <c r="A10" s="122" t="s">
        <v>310</v>
      </c>
      <c r="B10" s="122"/>
      <c r="C10" s="139"/>
      <c r="D10" s="487">
        <f>D5-D8</f>
        <v>29812</v>
      </c>
      <c r="E10" s="487">
        <f>E5-E8</f>
        <v>29279.850768151973</v>
      </c>
      <c r="F10" s="280"/>
      <c r="G10" s="280"/>
      <c r="H10" s="280"/>
      <c r="I10" s="280"/>
      <c r="J10" s="280"/>
      <c r="K10" s="280"/>
    </row>
    <row r="11" spans="1:11">
      <c r="A11" s="119"/>
      <c r="B11" s="145" t="s">
        <v>311</v>
      </c>
      <c r="C11" s="488"/>
      <c r="D11" s="492">
        <f>D10/D5</f>
        <v>0.63347570174879408</v>
      </c>
      <c r="E11" s="492">
        <f>E10/E5</f>
        <v>0.60847570174879417</v>
      </c>
      <c r="F11" s="280"/>
      <c r="G11" s="280"/>
      <c r="H11" s="280"/>
      <c r="I11" s="280"/>
      <c r="J11" s="280"/>
      <c r="K11" s="280"/>
    </row>
    <row r="12" spans="1:11">
      <c r="A12" s="122" t="s">
        <v>154</v>
      </c>
      <c r="B12" s="119"/>
      <c r="C12" s="119"/>
      <c r="D12" s="493">
        <v>18745</v>
      </c>
      <c r="E12" s="490">
        <f>'Income Statement'!G19</f>
        <v>17202.62330288703</v>
      </c>
      <c r="F12" s="280"/>
      <c r="G12" s="280"/>
      <c r="H12" s="280"/>
      <c r="I12" s="280"/>
      <c r="J12" s="280"/>
      <c r="K12" s="280"/>
    </row>
    <row r="13" spans="1:11">
      <c r="A13" s="119"/>
      <c r="B13" s="145" t="s">
        <v>312</v>
      </c>
      <c r="C13" s="488"/>
      <c r="D13" s="492">
        <f>D12/D5</f>
        <v>0.39831282803170354</v>
      </c>
      <c r="E13" s="492">
        <f>E12/E5</f>
        <v>0.35749424985218264</v>
      </c>
      <c r="F13" s="280"/>
      <c r="G13" s="280"/>
      <c r="H13" s="280"/>
      <c r="I13" s="280"/>
      <c r="J13" s="280"/>
      <c r="K13" s="280"/>
    </row>
    <row r="14" spans="1:11">
      <c r="A14" s="122" t="s">
        <v>121</v>
      </c>
      <c r="B14" s="122"/>
      <c r="C14" s="139"/>
      <c r="D14" s="487">
        <f>D10-D12</f>
        <v>11067</v>
      </c>
      <c r="E14" s="487">
        <f>E10-E12</f>
        <v>12077.227465264943</v>
      </c>
      <c r="F14" s="280"/>
      <c r="G14" s="280"/>
      <c r="H14" s="280"/>
      <c r="I14" s="280"/>
      <c r="J14" s="280"/>
      <c r="K14" s="280"/>
    </row>
    <row r="15" spans="1:11">
      <c r="A15" s="119"/>
      <c r="B15" s="145" t="s">
        <v>313</v>
      </c>
      <c r="C15" s="488"/>
      <c r="D15" s="492">
        <f>D14/D5</f>
        <v>0.23516287371709058</v>
      </c>
      <c r="E15" s="492">
        <f>E14/E5</f>
        <v>0.25098145189661147</v>
      </c>
      <c r="F15" s="280"/>
      <c r="G15" s="280"/>
      <c r="H15" s="280"/>
      <c r="I15" s="280"/>
      <c r="J15" s="280"/>
      <c r="K15" s="280"/>
    </row>
    <row r="16" spans="1:11">
      <c r="A16" s="119" t="s">
        <v>56</v>
      </c>
      <c r="B16" s="119"/>
      <c r="C16" s="119"/>
      <c r="D16" s="290">
        <v>1075</v>
      </c>
      <c r="E16" s="490">
        <f>'Income Statement'!G22</f>
        <v>1048.9377793875517</v>
      </c>
      <c r="F16" s="280"/>
      <c r="G16" s="280"/>
      <c r="H16" s="280"/>
      <c r="I16" s="280"/>
      <c r="J16" s="280"/>
      <c r="K16" s="280"/>
    </row>
    <row r="17" spans="1:11">
      <c r="A17" s="119"/>
      <c r="B17" s="145" t="s">
        <v>314</v>
      </c>
      <c r="C17" s="119"/>
      <c r="D17" s="491">
        <f>D16/D5</f>
        <v>2.2842693525424448E-2</v>
      </c>
      <c r="E17" s="491">
        <f>E16/E5</f>
        <v>2.1798374467737983E-2</v>
      </c>
      <c r="F17" s="280"/>
      <c r="G17" s="280"/>
      <c r="H17" s="280"/>
      <c r="I17" s="280"/>
      <c r="J17" s="280"/>
      <c r="K17" s="280"/>
    </row>
    <row r="18" spans="1:11">
      <c r="A18" s="122" t="s">
        <v>123</v>
      </c>
      <c r="B18" s="122"/>
      <c r="C18" s="139"/>
      <c r="D18" s="487">
        <f>D14-D16</f>
        <v>9992</v>
      </c>
      <c r="E18" s="487">
        <v>11520</v>
      </c>
      <c r="F18" s="280"/>
      <c r="G18" s="280"/>
      <c r="H18" s="280"/>
      <c r="I18" s="280"/>
      <c r="J18" s="280"/>
      <c r="K18" s="280"/>
    </row>
    <row r="19" spans="1:11">
      <c r="A19" s="119"/>
      <c r="B19" s="145" t="s">
        <v>124</v>
      </c>
      <c r="C19" s="145"/>
      <c r="D19" s="491">
        <f>D18/D5</f>
        <v>0.21232018019166612</v>
      </c>
      <c r="E19" s="491">
        <f>E18/E5</f>
        <v>0.23940149625935161</v>
      </c>
      <c r="F19" s="280"/>
      <c r="G19" s="280"/>
      <c r="H19" s="280"/>
      <c r="I19" s="280"/>
      <c r="J19" s="280"/>
      <c r="K19" s="280"/>
    </row>
    <row r="20" spans="1:11">
      <c r="A20" s="122" t="s">
        <v>315</v>
      </c>
      <c r="B20" s="145"/>
      <c r="C20" s="145"/>
      <c r="D20" s="292">
        <v>-1770</v>
      </c>
      <c r="E20" s="292">
        <f>'Income Statement'!G25</f>
        <v>-1691</v>
      </c>
      <c r="F20" s="280"/>
      <c r="G20" s="280"/>
      <c r="H20" s="280"/>
      <c r="I20" s="280"/>
      <c r="J20" s="280"/>
      <c r="K20" s="280"/>
    </row>
    <row r="21" spans="1:11">
      <c r="A21" s="122" t="s">
        <v>316</v>
      </c>
      <c r="B21" s="119"/>
      <c r="C21" s="489"/>
      <c r="D21" s="292">
        <v>-1992</v>
      </c>
      <c r="E21" s="292">
        <f>'Income Statement'!G26</f>
        <v>-1281</v>
      </c>
      <c r="F21" s="280"/>
      <c r="G21" s="280"/>
      <c r="H21" s="280"/>
      <c r="I21" s="280"/>
      <c r="J21" s="280"/>
      <c r="K21" s="280"/>
    </row>
    <row r="22" spans="1:11">
      <c r="A22" s="122" t="s">
        <v>127</v>
      </c>
      <c r="B22" s="119"/>
      <c r="C22" s="145"/>
      <c r="D22" s="488"/>
      <c r="E22" s="488"/>
      <c r="F22" s="280"/>
      <c r="G22" s="280"/>
      <c r="H22" s="280"/>
      <c r="I22" s="280"/>
      <c r="J22" s="280"/>
      <c r="K22" s="280"/>
    </row>
    <row r="23" spans="1:11">
      <c r="A23" s="119"/>
      <c r="B23" s="119" t="s">
        <v>128</v>
      </c>
      <c r="C23" s="119"/>
      <c r="D23" s="493">
        <v>1656</v>
      </c>
      <c r="E23" s="490">
        <f>'Income Statement'!G28</f>
        <v>2229.3204999999998</v>
      </c>
      <c r="F23" s="280"/>
      <c r="G23" s="280"/>
      <c r="H23" s="280"/>
      <c r="I23" s="280"/>
      <c r="J23" s="280"/>
      <c r="K23" s="280"/>
    </row>
    <row r="24" spans="1:11">
      <c r="A24" s="119"/>
      <c r="B24" s="119" t="s">
        <v>206</v>
      </c>
      <c r="C24" s="119"/>
      <c r="D24" s="291">
        <v>-988</v>
      </c>
      <c r="E24" s="490">
        <f ca="1">'Income Statement'!G29</f>
        <v>-539.24917294261854</v>
      </c>
      <c r="F24" s="280"/>
      <c r="G24" s="280"/>
      <c r="H24" s="280"/>
      <c r="I24" s="280"/>
      <c r="J24" s="280"/>
      <c r="K24" s="280"/>
    </row>
    <row r="25" spans="1:11">
      <c r="A25" s="119"/>
      <c r="B25" s="122" t="s">
        <v>317</v>
      </c>
      <c r="C25" s="119"/>
      <c r="D25" s="293">
        <f>SUM(D23:D24)</f>
        <v>668</v>
      </c>
      <c r="E25" s="293">
        <f ca="1">SUM(E23:E24)</f>
        <v>1690.0713270573813</v>
      </c>
      <c r="F25" s="280"/>
      <c r="G25" s="119"/>
      <c r="H25" s="119"/>
      <c r="I25" s="280"/>
      <c r="J25" s="280"/>
      <c r="K25" s="280"/>
    </row>
    <row r="26" spans="1:11">
      <c r="A26" s="122" t="s">
        <v>318</v>
      </c>
      <c r="B26" s="122"/>
      <c r="C26" s="119"/>
      <c r="D26" s="487">
        <f>D18-D20-D21-D25</f>
        <v>13086</v>
      </c>
      <c r="E26" s="487">
        <f ca="1">E18-E20-E21-E25</f>
        <v>12801.928672942619</v>
      </c>
      <c r="F26" s="280"/>
      <c r="G26" s="280"/>
      <c r="H26" s="119"/>
      <c r="I26" s="280"/>
      <c r="J26" s="280"/>
      <c r="K26" s="280"/>
    </row>
    <row r="27" spans="1:11">
      <c r="A27" s="119"/>
      <c r="B27" s="145" t="s">
        <v>319</v>
      </c>
      <c r="C27" s="488"/>
      <c r="D27" s="492">
        <f>D26/D5</f>
        <v>0.27806463951042265</v>
      </c>
      <c r="E27" s="492">
        <f ca="1">E26/E5</f>
        <v>0.2660417429954825</v>
      </c>
      <c r="F27" s="280"/>
      <c r="G27" s="280"/>
      <c r="H27" s="280"/>
      <c r="I27" s="280"/>
      <c r="J27" s="280"/>
      <c r="K27" s="280"/>
    </row>
    <row r="28" spans="1:11">
      <c r="A28" s="119" t="s">
        <v>320</v>
      </c>
      <c r="B28" s="119"/>
      <c r="C28" s="119"/>
      <c r="D28" s="490">
        <v>2437</v>
      </c>
      <c r="E28" s="490">
        <f ca="1">'Income Statement'!G33</f>
        <v>2292.526527620691</v>
      </c>
      <c r="F28" s="280"/>
      <c r="G28" s="280"/>
      <c r="H28" s="280"/>
      <c r="I28" s="280"/>
      <c r="J28" s="280"/>
      <c r="K28" s="280"/>
    </row>
    <row r="29" spans="1:11">
      <c r="A29" s="119"/>
      <c r="B29" s="145" t="s">
        <v>321</v>
      </c>
      <c r="C29" s="488"/>
      <c r="D29" s="288">
        <f>'Income Statement'!F34</f>
        <v>0.18622955830658719</v>
      </c>
      <c r="E29" s="288">
        <f>'Income Statement'!G34</f>
        <v>0.18622955830658719</v>
      </c>
      <c r="F29" s="280"/>
      <c r="G29" s="280"/>
      <c r="H29" s="280"/>
      <c r="I29" s="280"/>
      <c r="J29" s="280"/>
      <c r="K29" s="280"/>
    </row>
    <row r="30" spans="1:11">
      <c r="A30" s="122" t="s">
        <v>135</v>
      </c>
      <c r="B30" s="119"/>
      <c r="C30" s="119"/>
      <c r="D30" s="494">
        <f>D26-D28</f>
        <v>10649</v>
      </c>
      <c r="E30" s="494">
        <f ca="1">E26-E28</f>
        <v>10509.402145321928</v>
      </c>
      <c r="F30" s="280"/>
      <c r="G30" s="280"/>
      <c r="H30" s="280"/>
      <c r="I30" s="280"/>
      <c r="J30" s="280"/>
      <c r="K30" s="280"/>
    </row>
    <row r="31" spans="1:11">
      <c r="A31" s="122" t="s">
        <v>136</v>
      </c>
      <c r="B31" s="119"/>
      <c r="C31" s="119"/>
      <c r="D31" s="121">
        <f>'Income Statement'!F36</f>
        <v>18</v>
      </c>
      <c r="E31" s="121">
        <f>'Income Statement'!G36</f>
        <v>12</v>
      </c>
      <c r="F31" s="280"/>
      <c r="G31" s="280"/>
      <c r="H31" s="280"/>
      <c r="I31" s="280"/>
      <c r="J31" s="280"/>
      <c r="K31" s="280"/>
    </row>
    <row r="32" spans="1:11">
      <c r="A32" s="122" t="s">
        <v>137</v>
      </c>
      <c r="B32" s="119"/>
      <c r="C32" s="119"/>
      <c r="D32" s="489"/>
      <c r="E32" s="489"/>
      <c r="F32" s="280"/>
      <c r="G32" s="280"/>
      <c r="H32" s="280"/>
      <c r="I32" s="280"/>
      <c r="J32" s="280"/>
      <c r="K32" s="280"/>
    </row>
    <row r="33" spans="1:11">
      <c r="A33" s="122"/>
      <c r="B33" s="119" t="s">
        <v>138</v>
      </c>
      <c r="C33" s="119"/>
      <c r="D33" s="495">
        <v>0</v>
      </c>
      <c r="E33" s="495">
        <v>0</v>
      </c>
      <c r="F33" s="280"/>
      <c r="G33" s="280"/>
      <c r="H33" s="280"/>
      <c r="I33" s="280"/>
      <c r="J33" s="280"/>
      <c r="K33" s="280"/>
    </row>
    <row r="34" spans="1:11">
      <c r="A34" s="122"/>
      <c r="B34" s="119" t="s">
        <v>139</v>
      </c>
      <c r="C34" s="119"/>
      <c r="D34" s="495">
        <v>0</v>
      </c>
      <c r="E34" s="495">
        <v>0</v>
      </c>
      <c r="F34" s="280"/>
      <c r="G34" s="280"/>
      <c r="H34" s="280"/>
      <c r="I34" s="280"/>
      <c r="J34" s="280"/>
      <c r="K34" s="280"/>
    </row>
    <row r="35" spans="1:11">
      <c r="A35" s="122"/>
      <c r="B35" s="119" t="s">
        <v>140</v>
      </c>
      <c r="C35" s="119"/>
      <c r="D35" s="495">
        <v>0</v>
      </c>
      <c r="E35" s="495">
        <v>0</v>
      </c>
      <c r="F35" s="280"/>
      <c r="G35" s="280"/>
      <c r="H35" s="280"/>
      <c r="I35" s="280"/>
      <c r="J35" s="280"/>
      <c r="K35" s="280"/>
    </row>
    <row r="36" spans="1:11">
      <c r="A36" s="122"/>
      <c r="B36" s="119" t="s">
        <v>141</v>
      </c>
      <c r="C36" s="119"/>
      <c r="D36" s="495">
        <v>0</v>
      </c>
      <c r="E36" s="495">
        <v>0</v>
      </c>
      <c r="F36" s="280"/>
      <c r="G36" s="280"/>
      <c r="H36" s="280"/>
      <c r="I36" s="280"/>
      <c r="J36" s="280"/>
      <c r="K36" s="280"/>
    </row>
    <row r="37" spans="1:11">
      <c r="A37" s="122"/>
      <c r="B37" s="119" t="s">
        <v>63</v>
      </c>
      <c r="C37" s="119"/>
      <c r="D37" s="496">
        <v>0</v>
      </c>
      <c r="E37" s="496">
        <v>0</v>
      </c>
      <c r="F37" s="280"/>
      <c r="G37" s="280"/>
      <c r="H37" s="280"/>
      <c r="I37" s="280"/>
      <c r="J37" s="280"/>
      <c r="K37" s="280"/>
    </row>
    <row r="38" spans="1:11">
      <c r="A38" s="122"/>
      <c r="B38" s="122" t="s">
        <v>142</v>
      </c>
      <c r="C38" s="119"/>
      <c r="D38" s="497">
        <v>0</v>
      </c>
      <c r="E38" s="497">
        <v>0</v>
      </c>
      <c r="F38" s="280"/>
      <c r="G38" s="280"/>
      <c r="H38" s="280"/>
      <c r="I38" s="280"/>
      <c r="J38" s="280"/>
      <c r="K38" s="280"/>
    </row>
    <row r="39" spans="1:11">
      <c r="A39" s="122"/>
      <c r="B39" s="122" t="s">
        <v>143</v>
      </c>
      <c r="C39" s="139"/>
      <c r="D39" s="487">
        <f>D30-D31</f>
        <v>10631</v>
      </c>
      <c r="E39" s="487">
        <f ca="1">E30-E31</f>
        <v>10497.402145321928</v>
      </c>
      <c r="F39" s="280"/>
      <c r="G39" s="280"/>
      <c r="H39" s="280"/>
      <c r="I39" s="280"/>
      <c r="J39" s="280"/>
      <c r="K39" s="280"/>
    </row>
    <row r="40" spans="1:11">
      <c r="A40" s="122"/>
      <c r="B40" s="119" t="s">
        <v>141</v>
      </c>
      <c r="C40" s="119"/>
      <c r="D40" s="495">
        <v>0</v>
      </c>
      <c r="E40" s="495">
        <v>0</v>
      </c>
      <c r="F40" s="280"/>
      <c r="G40" s="280"/>
      <c r="H40" s="280"/>
      <c r="I40" s="280"/>
      <c r="J40" s="280"/>
      <c r="K40" s="280"/>
    </row>
    <row r="41" spans="1:11">
      <c r="A41" s="122"/>
      <c r="B41" s="119" t="s">
        <v>144</v>
      </c>
      <c r="C41" s="145"/>
      <c r="D41" s="496">
        <v>0</v>
      </c>
      <c r="E41" s="496">
        <v>0</v>
      </c>
      <c r="F41" s="280"/>
      <c r="G41" s="280"/>
      <c r="H41" s="280"/>
      <c r="I41" s="280"/>
      <c r="J41" s="280"/>
      <c r="K41" s="280"/>
    </row>
    <row r="42" spans="1:11">
      <c r="A42" s="122"/>
      <c r="B42" s="119"/>
      <c r="C42" s="145" t="s">
        <v>145</v>
      </c>
      <c r="D42" s="498">
        <v>0</v>
      </c>
      <c r="E42" s="498">
        <v>0</v>
      </c>
      <c r="F42" s="280"/>
      <c r="G42" s="280"/>
      <c r="H42" s="280"/>
      <c r="I42" s="280"/>
      <c r="J42" s="280"/>
      <c r="K42" s="280"/>
    </row>
    <row r="43" spans="1:11">
      <c r="A43" s="122" t="s">
        <v>146</v>
      </c>
      <c r="B43" s="119"/>
      <c r="C43" s="119"/>
      <c r="D43" s="499">
        <f>D39</f>
        <v>10631</v>
      </c>
      <c r="E43" s="499">
        <f ca="1">E39</f>
        <v>10497.402145321928</v>
      </c>
      <c r="F43" s="280"/>
      <c r="G43" s="280"/>
      <c r="H43" s="280"/>
      <c r="I43" s="280"/>
      <c r="J43" s="280"/>
      <c r="K43" s="280"/>
    </row>
    <row r="44" spans="1:11">
      <c r="A44" s="122" t="s">
        <v>147</v>
      </c>
      <c r="B44" s="119"/>
      <c r="C44" s="119"/>
      <c r="D44" s="121"/>
      <c r="E44" s="121"/>
      <c r="F44" s="280"/>
      <c r="G44" s="280"/>
      <c r="H44" s="280"/>
      <c r="I44" s="280"/>
      <c r="J44" s="280"/>
      <c r="K44" s="280"/>
    </row>
    <row r="45" spans="1:11">
      <c r="A45" s="122"/>
      <c r="B45" s="119" t="s">
        <v>148</v>
      </c>
      <c r="C45" s="119"/>
      <c r="D45" s="500">
        <f>D43/D49</f>
        <v>2.4671617544673938</v>
      </c>
      <c r="E45" s="500">
        <f ca="1">E43/E49</f>
        <v>2.4361573788168784</v>
      </c>
      <c r="F45" s="280"/>
      <c r="G45" s="280"/>
      <c r="H45" s="280"/>
      <c r="I45" s="280"/>
      <c r="J45" s="280"/>
      <c r="K45" s="280"/>
    </row>
    <row r="46" spans="1:11">
      <c r="A46" s="122"/>
      <c r="B46" s="119" t="s">
        <v>149</v>
      </c>
      <c r="C46" s="119"/>
      <c r="D46" s="500">
        <f>D43/D50</f>
        <v>2.4608796296296296</v>
      </c>
      <c r="E46" s="500">
        <f ca="1">E43/E50</f>
        <v>2.429954200306002</v>
      </c>
      <c r="F46" s="280"/>
      <c r="G46" s="280"/>
      <c r="H46" s="280"/>
      <c r="I46" s="280"/>
      <c r="J46" s="280"/>
      <c r="K46" s="280"/>
    </row>
    <row r="47" spans="1:11">
      <c r="A47" s="122" t="s">
        <v>150</v>
      </c>
      <c r="B47" s="119"/>
      <c r="C47" s="119"/>
      <c r="D47" s="121">
        <v>11</v>
      </c>
      <c r="E47" s="121">
        <v>13</v>
      </c>
      <c r="F47" s="280"/>
      <c r="G47" s="280"/>
      <c r="H47" s="280"/>
      <c r="I47" s="280"/>
      <c r="J47" s="280"/>
      <c r="K47" s="280"/>
    </row>
    <row r="48" spans="1:11">
      <c r="A48" s="122" t="s">
        <v>151</v>
      </c>
      <c r="B48" s="119"/>
      <c r="C48" s="119"/>
      <c r="D48" s="121"/>
      <c r="E48" s="121"/>
      <c r="F48" s="280"/>
      <c r="G48" s="280"/>
      <c r="H48" s="280"/>
      <c r="I48" s="280"/>
      <c r="J48" s="280"/>
      <c r="K48" s="280"/>
    </row>
    <row r="49" spans="1:11">
      <c r="A49" s="122"/>
      <c r="B49" s="119" t="s">
        <v>148</v>
      </c>
      <c r="C49" s="119"/>
      <c r="D49" s="501">
        <v>4309</v>
      </c>
      <c r="E49" s="501">
        <v>4309</v>
      </c>
      <c r="F49" s="280"/>
      <c r="G49" s="280"/>
      <c r="H49" s="280"/>
      <c r="I49" s="280"/>
      <c r="J49" s="280"/>
      <c r="K49" s="280"/>
    </row>
    <row r="50" spans="1:11">
      <c r="A50" s="122"/>
      <c r="B50" s="119" t="s">
        <v>149</v>
      </c>
      <c r="C50" s="119"/>
      <c r="D50" s="501">
        <v>4320</v>
      </c>
      <c r="E50" s="501">
        <v>4320</v>
      </c>
      <c r="F50" s="280"/>
      <c r="G50" s="280"/>
      <c r="H50" s="280"/>
      <c r="I50" s="280"/>
      <c r="J50" s="280"/>
      <c r="K50" s="280"/>
    </row>
    <row r="51" spans="1:11">
      <c r="A51" s="280"/>
      <c r="B51" s="280"/>
      <c r="C51" s="280"/>
      <c r="D51" s="280"/>
      <c r="E51" s="280"/>
      <c r="F51" s="280"/>
      <c r="G51" s="280"/>
      <c r="H51" s="280"/>
      <c r="I51" s="280"/>
      <c r="J51" s="280"/>
      <c r="K51" s="280"/>
    </row>
    <row r="52" spans="1:11">
      <c r="A52" s="280"/>
      <c r="B52" s="280"/>
      <c r="C52" s="280"/>
      <c r="D52" s="280"/>
      <c r="E52" s="280"/>
      <c r="F52" s="280"/>
      <c r="G52" s="280"/>
      <c r="H52" s="280"/>
      <c r="I52" s="280"/>
      <c r="J52" s="280"/>
      <c r="K52" s="280"/>
    </row>
    <row r="53" spans="1:11">
      <c r="A53" s="547" t="s">
        <v>322</v>
      </c>
      <c r="B53" s="548"/>
      <c r="C53" s="548"/>
      <c r="D53" s="549"/>
      <c r="E53" s="280"/>
      <c r="F53" s="280"/>
      <c r="G53" s="280"/>
      <c r="H53" s="280"/>
      <c r="I53" s="280"/>
      <c r="J53" s="280"/>
      <c r="K53" s="280"/>
    </row>
    <row r="54" spans="1:11">
      <c r="A54" s="294" t="s">
        <v>323</v>
      </c>
      <c r="B54" s="294"/>
      <c r="C54" s="294"/>
      <c r="D54" s="296">
        <f>DCF!O22</f>
        <v>71.73</v>
      </c>
      <c r="E54" s="280"/>
      <c r="F54" s="280"/>
      <c r="G54" s="280"/>
      <c r="H54" s="280"/>
      <c r="I54" s="280"/>
      <c r="J54" s="280"/>
      <c r="K54" s="280"/>
    </row>
    <row r="55" spans="1:11">
      <c r="A55" s="297" t="s">
        <v>324</v>
      </c>
      <c r="B55" s="297"/>
      <c r="C55" s="298"/>
      <c r="D55" s="300">
        <v>4313</v>
      </c>
      <c r="E55" s="280" t="s">
        <v>325</v>
      </c>
      <c r="F55" s="280"/>
      <c r="G55" s="280"/>
      <c r="H55" s="280"/>
      <c r="I55" s="280"/>
      <c r="J55" s="280"/>
      <c r="K55" s="280"/>
    </row>
    <row r="56" spans="1:11">
      <c r="A56" s="301" t="s">
        <v>326</v>
      </c>
      <c r="B56" s="302"/>
      <c r="C56" s="302"/>
      <c r="D56" s="303">
        <f>D54*D55</f>
        <v>309371.49</v>
      </c>
      <c r="E56" s="280"/>
      <c r="F56" s="280"/>
      <c r="G56" s="280"/>
      <c r="H56" s="280"/>
      <c r="I56" s="280"/>
      <c r="J56" s="280"/>
      <c r="K56" s="280"/>
    </row>
    <row r="57" spans="1:11">
      <c r="A57" s="294" t="s">
        <v>327</v>
      </c>
      <c r="B57" s="294"/>
      <c r="C57" s="294"/>
      <c r="D57" s="304">
        <v>5418</v>
      </c>
      <c r="E57" s="280"/>
      <c r="F57" s="280"/>
      <c r="G57" s="280"/>
      <c r="H57" s="280"/>
      <c r="I57" s="280"/>
      <c r="J57" s="280"/>
      <c r="K57" s="280"/>
    </row>
    <row r="58" spans="1:11">
      <c r="A58" s="294" t="s">
        <v>328</v>
      </c>
      <c r="B58" s="294"/>
      <c r="C58" s="294"/>
      <c r="D58" s="304">
        <v>43530</v>
      </c>
      <c r="E58" s="280"/>
      <c r="F58" s="280"/>
      <c r="G58" s="280"/>
      <c r="H58" s="280"/>
      <c r="I58" s="280"/>
      <c r="J58" s="280"/>
      <c r="K58" s="280"/>
    </row>
    <row r="59" spans="1:11">
      <c r="A59" s="294" t="s">
        <v>329</v>
      </c>
      <c r="B59" s="294"/>
      <c r="C59" s="294"/>
      <c r="D59" s="295">
        <v>0</v>
      </c>
      <c r="E59" s="280"/>
      <c r="F59" s="280"/>
      <c r="G59" s="280"/>
      <c r="H59" s="280"/>
      <c r="I59" s="280"/>
      <c r="J59" s="280"/>
      <c r="K59" s="280"/>
    </row>
    <row r="60" spans="1:11">
      <c r="A60" s="294" t="s">
        <v>330</v>
      </c>
      <c r="B60" s="294"/>
      <c r="C60" s="294"/>
      <c r="D60" s="295">
        <v>0</v>
      </c>
      <c r="E60" s="280"/>
      <c r="F60" s="280"/>
      <c r="G60" s="280"/>
      <c r="H60" s="280"/>
      <c r="I60" s="280"/>
      <c r="J60" s="280"/>
      <c r="K60" s="280"/>
    </row>
    <row r="61" spans="1:11">
      <c r="A61" s="294" t="s">
        <v>331</v>
      </c>
      <c r="B61" s="294"/>
      <c r="C61" s="294"/>
      <c r="D61" s="295">
        <v>0</v>
      </c>
      <c r="E61" s="280"/>
      <c r="F61" s="280"/>
      <c r="G61" s="280"/>
      <c r="H61" s="280"/>
      <c r="I61" s="280"/>
      <c r="J61" s="280"/>
      <c r="K61" s="280"/>
    </row>
    <row r="62" spans="1:11">
      <c r="A62" s="294" t="s">
        <v>332</v>
      </c>
      <c r="B62" s="294"/>
      <c r="C62" s="294"/>
      <c r="D62" s="304">
        <v>1552</v>
      </c>
      <c r="E62" s="280"/>
      <c r="F62" s="280"/>
      <c r="G62" s="280"/>
      <c r="H62" s="280"/>
      <c r="I62" s="280"/>
      <c r="J62" s="280"/>
      <c r="K62" s="280"/>
    </row>
    <row r="63" spans="1:11">
      <c r="A63" s="294" t="s">
        <v>333</v>
      </c>
      <c r="B63" s="294"/>
      <c r="C63" s="294"/>
      <c r="D63" s="304">
        <v>-8417</v>
      </c>
      <c r="E63" s="280"/>
      <c r="F63" s="280"/>
      <c r="G63" s="280"/>
      <c r="H63" s="280"/>
      <c r="I63" s="280"/>
      <c r="J63" s="280"/>
      <c r="K63" s="280"/>
    </row>
    <row r="64" spans="1:11">
      <c r="A64" s="301" t="s">
        <v>296</v>
      </c>
      <c r="B64" s="305"/>
      <c r="C64" s="305"/>
      <c r="D64" s="306">
        <f>SUM(D56:D63)</f>
        <v>351454.49</v>
      </c>
      <c r="E64" s="280"/>
      <c r="F64" s="280"/>
      <c r="G64" s="280"/>
      <c r="H64" s="280"/>
      <c r="I64" s="280"/>
      <c r="J64" s="280"/>
      <c r="K64" s="280"/>
    </row>
  </sheetData>
  <mergeCells count="1">
    <mergeCell ref="A53:D53"/>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D2AE1-BC72-4E1A-AA5D-A819BEF0499C}">
  <dimension ref="A1:E60"/>
  <sheetViews>
    <sheetView workbookViewId="0">
      <selection activeCell="U15" sqref="U15"/>
    </sheetView>
  </sheetViews>
  <sheetFormatPr baseColWidth="10" defaultColWidth="8.83203125" defaultRowHeight="15"/>
  <cols>
    <col min="4" max="4" width="12.6640625" bestFit="1" customWidth="1"/>
    <col min="5" max="5" width="9.83203125" bestFit="1" customWidth="1"/>
  </cols>
  <sheetData>
    <row r="1" spans="1:5">
      <c r="A1" s="314" t="s">
        <v>334</v>
      </c>
      <c r="B1" s="315"/>
      <c r="C1" s="315"/>
      <c r="D1" s="314" t="s">
        <v>110</v>
      </c>
      <c r="E1" s="314" t="s">
        <v>110</v>
      </c>
    </row>
    <row r="2" spans="1:5">
      <c r="A2" s="316" t="s">
        <v>110</v>
      </c>
      <c r="B2" s="316" t="s">
        <v>110</v>
      </c>
      <c r="C2" s="316" t="s">
        <v>110</v>
      </c>
      <c r="D2" s="335" t="s">
        <v>52</v>
      </c>
      <c r="E2" s="318" t="s">
        <v>2</v>
      </c>
    </row>
    <row r="3" spans="1:5">
      <c r="A3" s="316" t="s">
        <v>110</v>
      </c>
      <c r="B3" s="316" t="s">
        <v>110</v>
      </c>
      <c r="C3" s="316" t="s">
        <v>110</v>
      </c>
      <c r="D3" s="315" t="s">
        <v>110</v>
      </c>
      <c r="E3" s="315" t="s">
        <v>110</v>
      </c>
    </row>
    <row r="4" spans="1:5">
      <c r="A4" s="335" t="s">
        <v>110</v>
      </c>
      <c r="B4" s="336" t="s">
        <v>110</v>
      </c>
      <c r="C4" s="337" t="s">
        <v>110</v>
      </c>
      <c r="D4" s="337" t="s">
        <v>6</v>
      </c>
      <c r="E4" s="337" t="s">
        <v>7</v>
      </c>
    </row>
    <row r="5" spans="1:5">
      <c r="A5" s="321" t="s">
        <v>106</v>
      </c>
      <c r="B5" s="312" t="s">
        <v>110</v>
      </c>
      <c r="C5" s="322" t="s">
        <v>110</v>
      </c>
      <c r="D5" s="338">
        <v>91854</v>
      </c>
      <c r="E5" s="339">
        <v>91970</v>
      </c>
    </row>
    <row r="6" spans="1:5" ht="24" customHeight="1">
      <c r="A6" s="312" t="s">
        <v>110</v>
      </c>
      <c r="B6" s="312" t="s">
        <v>110</v>
      </c>
      <c r="C6" s="323" t="s">
        <v>307</v>
      </c>
      <c r="D6" s="323" t="s">
        <v>110</v>
      </c>
      <c r="E6" s="340"/>
    </row>
    <row r="7" spans="1:5">
      <c r="A7" s="321" t="s">
        <v>110</v>
      </c>
      <c r="B7" s="312" t="s">
        <v>110</v>
      </c>
      <c r="C7" s="323" t="s">
        <v>110</v>
      </c>
      <c r="D7" s="323" t="s">
        <v>110</v>
      </c>
      <c r="E7" s="323" t="s">
        <v>110</v>
      </c>
    </row>
    <row r="8" spans="1:5">
      <c r="A8" s="321" t="s">
        <v>308</v>
      </c>
      <c r="B8" s="321"/>
      <c r="C8" s="324" t="s">
        <v>110</v>
      </c>
      <c r="D8" s="342">
        <v>41744</v>
      </c>
      <c r="E8" s="343">
        <f>E5*E9</f>
        <v>42306.200000000004</v>
      </c>
    </row>
    <row r="9" spans="1:5">
      <c r="A9" s="312" t="s">
        <v>110</v>
      </c>
      <c r="B9" s="325" t="s">
        <v>309</v>
      </c>
      <c r="C9" s="325"/>
      <c r="D9" s="344">
        <f>D8/D5</f>
        <v>0.45446033923400181</v>
      </c>
      <c r="E9" s="344">
        <v>0.46</v>
      </c>
    </row>
    <row r="10" spans="1:5">
      <c r="A10" s="321" t="s">
        <v>310</v>
      </c>
      <c r="B10" s="321"/>
      <c r="C10" s="322" t="s">
        <v>110</v>
      </c>
      <c r="D10" s="339">
        <f>D5-D8</f>
        <v>50110</v>
      </c>
      <c r="E10" s="339">
        <f>E5-E8</f>
        <v>49663.799999999996</v>
      </c>
    </row>
    <row r="11" spans="1:5">
      <c r="A11" s="312" t="s">
        <v>110</v>
      </c>
      <c r="B11" s="325" t="s">
        <v>311</v>
      </c>
      <c r="C11" s="325"/>
      <c r="D11" s="345">
        <f>D10/D5</f>
        <v>0.54553966076599825</v>
      </c>
      <c r="E11" s="345">
        <v>0.55000000000000004</v>
      </c>
    </row>
    <row r="12" spans="1:5">
      <c r="A12" s="321" t="s">
        <v>154</v>
      </c>
      <c r="B12" s="321"/>
      <c r="C12" s="312" t="s">
        <v>110</v>
      </c>
      <c r="D12" s="347">
        <f>37190+33-D16</f>
        <v>34063</v>
      </c>
      <c r="E12" s="343">
        <f>E5*E13</f>
        <v>34106.017266531671</v>
      </c>
    </row>
    <row r="13" spans="1:5">
      <c r="A13" s="312" t="s">
        <v>110</v>
      </c>
      <c r="B13" s="325" t="s">
        <v>312</v>
      </c>
      <c r="C13" s="325"/>
      <c r="D13" s="345">
        <f>D12/D5</f>
        <v>0.37083850458336054</v>
      </c>
      <c r="E13" s="345">
        <f>D13</f>
        <v>0.37083850458336054</v>
      </c>
    </row>
    <row r="14" spans="1:5">
      <c r="A14" s="321" t="s">
        <v>121</v>
      </c>
      <c r="B14" s="321" t="s">
        <v>110</v>
      </c>
      <c r="C14" s="322" t="s">
        <v>110</v>
      </c>
      <c r="D14" s="339">
        <f>D10-D12</f>
        <v>16047</v>
      </c>
      <c r="E14" s="339">
        <f>E10-E12</f>
        <v>15557.782733468324</v>
      </c>
    </row>
    <row r="15" spans="1:5">
      <c r="A15" s="312" t="s">
        <v>110</v>
      </c>
      <c r="B15" s="325" t="s">
        <v>313</v>
      </c>
      <c r="C15" s="325"/>
      <c r="D15" s="345">
        <f>D14/D5</f>
        <v>0.17470115618263765</v>
      </c>
      <c r="E15" s="345">
        <f>E14/E5</f>
        <v>0.16916149541663938</v>
      </c>
    </row>
    <row r="16" spans="1:5">
      <c r="A16" s="312" t="s">
        <v>56</v>
      </c>
      <c r="B16" s="312"/>
      <c r="C16" s="312"/>
      <c r="D16" s="342">
        <v>3160</v>
      </c>
      <c r="E16" s="343">
        <f>E5*E17</f>
        <v>3163.990680863109</v>
      </c>
    </row>
    <row r="17" spans="1:5">
      <c r="A17" s="312" t="s">
        <v>110</v>
      </c>
      <c r="B17" s="325" t="s">
        <v>314</v>
      </c>
      <c r="C17" s="325"/>
      <c r="D17" s="344">
        <f>D16/D5</f>
        <v>3.4402421233696953E-2</v>
      </c>
      <c r="E17" s="344">
        <f>D17</f>
        <v>3.4402421233696953E-2</v>
      </c>
    </row>
    <row r="18" spans="1:5">
      <c r="A18" s="321" t="s">
        <v>123</v>
      </c>
      <c r="B18" s="321" t="s">
        <v>110</v>
      </c>
      <c r="C18" s="322" t="s">
        <v>110</v>
      </c>
      <c r="D18" s="339">
        <f>D14-D16</f>
        <v>12887</v>
      </c>
      <c r="E18" s="339">
        <f>E14-E16</f>
        <v>12393.792052605215</v>
      </c>
    </row>
    <row r="19" spans="1:5">
      <c r="A19" s="312" t="s">
        <v>110</v>
      </c>
      <c r="B19" s="325" t="s">
        <v>124</v>
      </c>
      <c r="C19" s="325"/>
      <c r="D19" s="344">
        <f>D18/D5</f>
        <v>0.14029873494894071</v>
      </c>
      <c r="E19" s="344">
        <f>E18/E5</f>
        <v>0.13475907418294242</v>
      </c>
    </row>
    <row r="20" spans="1:5">
      <c r="A20" s="321" t="s">
        <v>335</v>
      </c>
      <c r="B20" s="321"/>
      <c r="C20" s="324" t="s">
        <v>110</v>
      </c>
      <c r="D20" s="346">
        <f>22</f>
        <v>22</v>
      </c>
      <c r="E20" s="324">
        <f>D20</f>
        <v>22</v>
      </c>
    </row>
    <row r="21" spans="1:5">
      <c r="A21" s="321" t="s">
        <v>127</v>
      </c>
      <c r="B21" s="312" t="s">
        <v>110</v>
      </c>
      <c r="C21" s="325" t="s">
        <v>110</v>
      </c>
      <c r="D21" s="323" t="s">
        <v>110</v>
      </c>
      <c r="E21" s="323" t="s">
        <v>110</v>
      </c>
    </row>
    <row r="22" spans="1:5">
      <c r="A22" s="312" t="s">
        <v>110</v>
      </c>
      <c r="B22" s="312" t="s">
        <v>128</v>
      </c>
      <c r="C22" s="312"/>
      <c r="D22" s="513">
        <v>919</v>
      </c>
      <c r="E22" s="513">
        <f>D22</f>
        <v>919</v>
      </c>
    </row>
    <row r="23" spans="1:5">
      <c r="A23" s="312" t="s">
        <v>110</v>
      </c>
      <c r="B23" s="312" t="s">
        <v>206</v>
      </c>
      <c r="C23" s="312"/>
      <c r="D23" s="348">
        <v>0</v>
      </c>
      <c r="E23" s="349">
        <v>0</v>
      </c>
    </row>
    <row r="24" spans="1:5">
      <c r="A24" s="312" t="s">
        <v>110</v>
      </c>
      <c r="B24" s="321" t="s">
        <v>317</v>
      </c>
      <c r="C24" s="321"/>
      <c r="D24" s="442">
        <f>D22+D23</f>
        <v>919</v>
      </c>
      <c r="E24" s="442">
        <f>E22+E23</f>
        <v>919</v>
      </c>
    </row>
    <row r="25" spans="1:5">
      <c r="A25" s="321" t="s">
        <v>318</v>
      </c>
      <c r="B25" s="321"/>
      <c r="C25" s="321"/>
      <c r="D25" s="339">
        <f>D18-D20-D24</f>
        <v>11946</v>
      </c>
      <c r="E25" s="339">
        <f>E18-E20-E24</f>
        <v>11452.792052605215</v>
      </c>
    </row>
    <row r="26" spans="1:5">
      <c r="A26" s="312" t="s">
        <v>110</v>
      </c>
      <c r="B26" s="325" t="s">
        <v>319</v>
      </c>
      <c r="C26" s="325"/>
      <c r="D26" s="345">
        <f>D25/D5</f>
        <v>0.13005421647396956</v>
      </c>
      <c r="E26" s="345">
        <f>E25/E5</f>
        <v>0.12452747692296634</v>
      </c>
    </row>
    <row r="27" spans="1:5">
      <c r="A27" s="312" t="s">
        <v>320</v>
      </c>
      <c r="B27" s="312"/>
      <c r="C27" s="312" t="s">
        <v>110</v>
      </c>
      <c r="D27" s="343">
        <v>2320</v>
      </c>
      <c r="E27" s="343">
        <f>E28*E25</f>
        <v>2224.2154329519585</v>
      </c>
    </row>
    <row r="28" spans="1:5">
      <c r="A28" s="312" t="s">
        <v>110</v>
      </c>
      <c r="B28" s="325" t="s">
        <v>321</v>
      </c>
      <c r="C28" s="325"/>
      <c r="D28" s="351">
        <f>D27/D25</f>
        <v>0.19420726603047045</v>
      </c>
      <c r="E28" s="351">
        <f>D28</f>
        <v>0.19420726603047045</v>
      </c>
    </row>
    <row r="29" spans="1:5">
      <c r="A29" s="321" t="s">
        <v>336</v>
      </c>
      <c r="B29" s="321"/>
      <c r="C29" s="321"/>
      <c r="D29" s="339">
        <f>D25-D27</f>
        <v>9626</v>
      </c>
      <c r="E29" s="339">
        <f>E25-E27</f>
        <v>9228.5766196532568</v>
      </c>
    </row>
    <row r="30" spans="1:5">
      <c r="A30" s="312" t="s">
        <v>110</v>
      </c>
      <c r="B30" s="312" t="s">
        <v>337</v>
      </c>
      <c r="C30" s="312"/>
      <c r="D30" s="341">
        <v>0</v>
      </c>
      <c r="E30" s="341">
        <v>0</v>
      </c>
    </row>
    <row r="31" spans="1:5">
      <c r="A31" s="312" t="s">
        <v>110</v>
      </c>
      <c r="B31" s="312" t="s">
        <v>338</v>
      </c>
      <c r="C31" s="312"/>
      <c r="D31" s="341">
        <v>0</v>
      </c>
      <c r="E31" s="341">
        <v>0</v>
      </c>
    </row>
    <row r="32" spans="1:5">
      <c r="A32" s="312" t="s">
        <v>110</v>
      </c>
      <c r="B32" s="312" t="s">
        <v>339</v>
      </c>
      <c r="C32" s="312"/>
      <c r="D32" s="341">
        <v>0</v>
      </c>
      <c r="E32" s="341">
        <v>0</v>
      </c>
    </row>
    <row r="33" spans="1:5">
      <c r="A33" s="312" t="s">
        <v>110</v>
      </c>
      <c r="B33" s="312" t="s">
        <v>214</v>
      </c>
      <c r="C33" s="312" t="s">
        <v>110</v>
      </c>
      <c r="D33" s="341">
        <v>48</v>
      </c>
      <c r="E33" s="341">
        <f>D33</f>
        <v>48</v>
      </c>
    </row>
    <row r="34" spans="1:5">
      <c r="A34" s="321" t="s">
        <v>340</v>
      </c>
      <c r="B34" s="321"/>
      <c r="C34" s="321"/>
      <c r="D34" s="339">
        <f>D29-SUM(D30:D33)</f>
        <v>9578</v>
      </c>
      <c r="E34" s="339">
        <f>E29-SUM(E30:E33)</f>
        <v>9180.5766196532568</v>
      </c>
    </row>
    <row r="35" spans="1:5">
      <c r="A35" s="321" t="s">
        <v>341</v>
      </c>
      <c r="B35" s="321"/>
      <c r="C35" s="321"/>
      <c r="D35" s="312" t="s">
        <v>110</v>
      </c>
      <c r="E35" s="312" t="s">
        <v>110</v>
      </c>
    </row>
    <row r="36" spans="1:5">
      <c r="A36" s="312" t="s">
        <v>110</v>
      </c>
      <c r="B36" s="312" t="s">
        <v>342</v>
      </c>
      <c r="C36" s="312" t="s">
        <v>110</v>
      </c>
      <c r="D36" s="524">
        <f>D34/D39</f>
        <v>6.9506531204644411</v>
      </c>
      <c r="E36" s="524">
        <f>E34/E39</f>
        <v>6.6622471840734807</v>
      </c>
    </row>
    <row r="37" spans="1:5">
      <c r="A37" s="312" t="s">
        <v>110</v>
      </c>
      <c r="B37" s="312" t="s">
        <v>343</v>
      </c>
      <c r="C37" s="312" t="s">
        <v>110</v>
      </c>
      <c r="D37" s="524">
        <f>D34/D40</f>
        <v>6.9405797101449274</v>
      </c>
      <c r="E37" s="524">
        <f>E34/E40</f>
        <v>6.652591753371925</v>
      </c>
    </row>
    <row r="38" spans="1:5">
      <c r="A38" s="321" t="s">
        <v>344</v>
      </c>
      <c r="B38" s="321"/>
      <c r="C38" s="321"/>
      <c r="D38" s="322" t="s">
        <v>110</v>
      </c>
      <c r="E38" s="322" t="s">
        <v>110</v>
      </c>
    </row>
    <row r="39" spans="1:5">
      <c r="A39" s="312" t="s">
        <v>110</v>
      </c>
      <c r="B39" s="312" t="s">
        <v>342</v>
      </c>
      <c r="C39" s="312" t="s">
        <v>110</v>
      </c>
      <c r="D39" s="352">
        <v>1378</v>
      </c>
      <c r="E39" s="353">
        <f>D39</f>
        <v>1378</v>
      </c>
    </row>
    <row r="40" spans="1:5">
      <c r="A40" s="354" t="s">
        <v>110</v>
      </c>
      <c r="B40" s="354" t="s">
        <v>343</v>
      </c>
      <c r="C40" s="354" t="s">
        <v>110</v>
      </c>
      <c r="D40" s="355">
        <v>1380</v>
      </c>
      <c r="E40" s="356">
        <f>D40</f>
        <v>1380</v>
      </c>
    </row>
    <row r="41" spans="1:5">
      <c r="A41" s="313"/>
      <c r="B41" s="313"/>
      <c r="C41" s="313"/>
      <c r="D41" s="313"/>
      <c r="E41" s="313"/>
    </row>
    <row r="49" spans="1:5">
      <c r="A49" s="547" t="s">
        <v>322</v>
      </c>
      <c r="B49" s="548"/>
      <c r="C49" s="548"/>
      <c r="D49" s="549"/>
    </row>
    <row r="50" spans="1:5">
      <c r="A50" s="294" t="s">
        <v>323</v>
      </c>
      <c r="B50" s="294"/>
      <c r="C50" s="294"/>
      <c r="D50" s="296">
        <v>132.49</v>
      </c>
    </row>
    <row r="51" spans="1:5">
      <c r="A51" s="297" t="s">
        <v>324</v>
      </c>
      <c r="B51" s="297"/>
      <c r="C51" s="298"/>
      <c r="D51" s="310">
        <f>D40</f>
        <v>1380</v>
      </c>
      <c r="E51" t="s">
        <v>325</v>
      </c>
    </row>
    <row r="52" spans="1:5">
      <c r="A52" s="301" t="s">
        <v>326</v>
      </c>
      <c r="B52" s="302"/>
      <c r="C52" s="302"/>
      <c r="D52" s="303">
        <f>D50*D51</f>
        <v>182836.2</v>
      </c>
    </row>
    <row r="53" spans="1:5">
      <c r="A53" s="294" t="s">
        <v>327</v>
      </c>
      <c r="B53" s="294"/>
      <c r="C53" s="294"/>
      <c r="D53" s="304">
        <v>7082</v>
      </c>
    </row>
    <row r="54" spans="1:5">
      <c r="A54" s="294" t="s">
        <v>328</v>
      </c>
      <c r="B54" s="294"/>
      <c r="C54" s="294"/>
      <c r="D54" s="304">
        <v>37224</v>
      </c>
    </row>
    <row r="55" spans="1:5">
      <c r="A55" s="294" t="s">
        <v>329</v>
      </c>
      <c r="B55" s="294"/>
      <c r="C55" s="294"/>
      <c r="D55" s="295"/>
    </row>
    <row r="56" spans="1:5">
      <c r="A56" s="294" t="s">
        <v>330</v>
      </c>
      <c r="B56" s="294"/>
      <c r="C56" s="294"/>
      <c r="D56" s="295"/>
    </row>
    <row r="57" spans="1:5">
      <c r="A57" s="294" t="s">
        <v>331</v>
      </c>
      <c r="B57" s="294"/>
      <c r="C57" s="294"/>
      <c r="D57" s="295"/>
    </row>
    <row r="58" spans="1:5">
      <c r="A58" s="294" t="s">
        <v>332</v>
      </c>
      <c r="B58" s="294"/>
      <c r="C58" s="294"/>
      <c r="D58" s="295">
        <v>130</v>
      </c>
    </row>
    <row r="59" spans="1:5">
      <c r="A59" s="294" t="s">
        <v>333</v>
      </c>
      <c r="B59" s="294"/>
      <c r="C59" s="294"/>
      <c r="D59" s="304">
        <v>-8505</v>
      </c>
    </row>
    <row r="60" spans="1:5">
      <c r="A60" s="301" t="s">
        <v>296</v>
      </c>
      <c r="B60" s="305"/>
      <c r="C60" s="305"/>
      <c r="D60" s="306">
        <f>SUM(D52:D59)</f>
        <v>218767.2</v>
      </c>
    </row>
  </sheetData>
  <mergeCells count="1">
    <mergeCell ref="A49:D49"/>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7391B-22AD-40A1-AFA5-5562CFD1D2F6}">
  <dimension ref="A1:AS60"/>
  <sheetViews>
    <sheetView workbookViewId="0">
      <selection activeCell="D53" sqref="D53"/>
    </sheetView>
  </sheetViews>
  <sheetFormatPr baseColWidth="10" defaultColWidth="8.83203125" defaultRowHeight="15"/>
  <cols>
    <col min="4" max="4" width="12.33203125" customWidth="1"/>
    <col min="5" max="5" width="9.1640625" bestFit="1" customWidth="1"/>
  </cols>
  <sheetData>
    <row r="1" spans="1:45">
      <c r="A1" s="314" t="s">
        <v>345</v>
      </c>
      <c r="B1" s="315"/>
      <c r="C1" s="315"/>
      <c r="D1" s="314" t="s">
        <v>110</v>
      </c>
      <c r="E1" s="314" t="s">
        <v>110</v>
      </c>
      <c r="F1" s="313"/>
      <c r="G1" s="311"/>
      <c r="H1" s="311"/>
      <c r="I1" s="311"/>
      <c r="J1" s="311"/>
      <c r="K1" s="311"/>
      <c r="L1" s="311"/>
      <c r="M1" s="311"/>
      <c r="N1" s="311"/>
      <c r="O1" s="311"/>
      <c r="P1" s="311"/>
      <c r="Q1" s="311"/>
      <c r="R1" s="311"/>
      <c r="S1" s="311"/>
      <c r="T1" s="311"/>
      <c r="U1" s="311"/>
      <c r="V1" s="311"/>
      <c r="W1" s="311"/>
      <c r="X1" s="311"/>
      <c r="Y1" s="311"/>
      <c r="Z1" s="311"/>
      <c r="AA1" s="311"/>
      <c r="AB1" s="311"/>
      <c r="AC1" s="311"/>
      <c r="AD1" s="311"/>
      <c r="AE1" s="311"/>
      <c r="AF1" s="311"/>
      <c r="AG1" s="311"/>
      <c r="AH1" s="311"/>
      <c r="AI1" s="313"/>
      <c r="AJ1" s="313"/>
      <c r="AK1" s="313"/>
      <c r="AL1" s="313"/>
      <c r="AM1" s="313"/>
      <c r="AN1" s="313"/>
      <c r="AO1" s="313"/>
      <c r="AP1" s="313"/>
      <c r="AQ1" s="313"/>
      <c r="AR1" s="313"/>
      <c r="AS1" s="313"/>
    </row>
    <row r="2" spans="1:45">
      <c r="A2" s="316" t="s">
        <v>110</v>
      </c>
      <c r="B2" s="316" t="s">
        <v>110</v>
      </c>
      <c r="C2" s="316" t="s">
        <v>110</v>
      </c>
      <c r="D2" s="317" t="s">
        <v>52</v>
      </c>
      <c r="E2" s="318" t="s">
        <v>2</v>
      </c>
      <c r="F2" s="311"/>
      <c r="G2" s="311"/>
      <c r="H2" s="311"/>
      <c r="I2" s="311"/>
      <c r="J2" s="311"/>
      <c r="K2" s="311"/>
      <c r="L2" s="311"/>
      <c r="M2" s="311"/>
      <c r="N2" s="311"/>
      <c r="O2" s="311"/>
      <c r="P2" s="311"/>
      <c r="Q2" s="311"/>
      <c r="R2" s="311"/>
      <c r="S2" s="311"/>
      <c r="T2" s="311"/>
      <c r="U2" s="311"/>
      <c r="V2" s="311"/>
      <c r="W2" s="311"/>
      <c r="X2" s="311"/>
      <c r="Y2" s="311"/>
      <c r="Z2" s="311"/>
      <c r="AA2" s="311"/>
      <c r="AB2" s="311"/>
      <c r="AC2" s="311"/>
      <c r="AD2" s="311"/>
      <c r="AE2" s="311"/>
      <c r="AF2" s="311"/>
      <c r="AG2" s="311"/>
      <c r="AH2" s="311"/>
      <c r="AI2" s="313"/>
      <c r="AJ2" s="313"/>
      <c r="AK2" s="313"/>
      <c r="AL2" s="313"/>
      <c r="AM2" s="313"/>
      <c r="AN2" s="313"/>
      <c r="AO2" s="313"/>
      <c r="AP2" s="313"/>
      <c r="AQ2" s="313"/>
      <c r="AR2" s="313"/>
      <c r="AS2" s="313"/>
    </row>
    <row r="3" spans="1:45">
      <c r="A3" s="316" t="s">
        <v>110</v>
      </c>
      <c r="B3" s="316" t="s">
        <v>110</v>
      </c>
      <c r="C3" s="316" t="s">
        <v>110</v>
      </c>
      <c r="D3" s="315" t="s">
        <v>110</v>
      </c>
      <c r="E3" s="315" t="s">
        <v>110</v>
      </c>
      <c r="F3" s="313"/>
      <c r="G3" s="311"/>
      <c r="H3" s="311"/>
      <c r="I3" s="311"/>
      <c r="J3" s="311"/>
      <c r="K3" s="311"/>
      <c r="L3" s="311"/>
      <c r="M3" s="311"/>
      <c r="N3" s="311"/>
      <c r="O3" s="311"/>
      <c r="P3" s="311"/>
      <c r="Q3" s="311"/>
      <c r="R3" s="311"/>
      <c r="S3" s="311"/>
      <c r="T3" s="311"/>
      <c r="U3" s="311"/>
      <c r="V3" s="311"/>
      <c r="W3" s="311"/>
      <c r="X3" s="311"/>
      <c r="Y3" s="311"/>
      <c r="Z3" s="311"/>
      <c r="AA3" s="311"/>
      <c r="AB3" s="311"/>
      <c r="AC3" s="311"/>
      <c r="AD3" s="311"/>
      <c r="AE3" s="311"/>
      <c r="AF3" s="311"/>
      <c r="AG3" s="311"/>
      <c r="AH3" s="311"/>
      <c r="AI3" s="313"/>
      <c r="AJ3" s="313"/>
      <c r="AK3" s="313"/>
      <c r="AL3" s="313"/>
      <c r="AM3" s="313"/>
      <c r="AN3" s="313"/>
      <c r="AO3" s="313"/>
      <c r="AP3" s="313"/>
      <c r="AQ3" s="313"/>
      <c r="AR3" s="313"/>
      <c r="AS3" s="313"/>
    </row>
    <row r="4" spans="1:45">
      <c r="A4" s="317" t="s">
        <v>346</v>
      </c>
      <c r="B4" s="319" t="s">
        <v>110</v>
      </c>
      <c r="C4" s="320" t="s">
        <v>110</v>
      </c>
      <c r="D4" s="320" t="s">
        <v>6</v>
      </c>
      <c r="E4" s="320" t="s">
        <v>7</v>
      </c>
      <c r="F4" s="313"/>
      <c r="G4" s="311"/>
      <c r="H4" s="311"/>
      <c r="I4" s="311"/>
      <c r="J4" s="311"/>
      <c r="K4" s="311"/>
      <c r="L4" s="311"/>
      <c r="M4" s="311"/>
      <c r="N4" s="311"/>
      <c r="O4" s="311"/>
      <c r="P4" s="311"/>
      <c r="Q4" s="311"/>
      <c r="R4" s="311"/>
      <c r="S4" s="311"/>
      <c r="T4" s="311"/>
      <c r="U4" s="311"/>
      <c r="V4" s="311"/>
      <c r="W4" s="311"/>
      <c r="X4" s="311"/>
      <c r="Y4" s="311"/>
      <c r="Z4" s="311"/>
      <c r="AA4" s="311"/>
      <c r="AB4" s="311"/>
      <c r="AC4" s="311"/>
      <c r="AD4" s="311"/>
      <c r="AE4" s="311"/>
      <c r="AF4" s="311"/>
      <c r="AG4" s="311"/>
      <c r="AH4" s="311"/>
      <c r="AI4" s="313"/>
      <c r="AJ4" s="313"/>
      <c r="AK4" s="313"/>
      <c r="AL4" s="313"/>
      <c r="AM4" s="313"/>
      <c r="AN4" s="313"/>
      <c r="AO4" s="313"/>
      <c r="AP4" s="313"/>
      <c r="AQ4" s="313"/>
      <c r="AR4" s="313"/>
      <c r="AS4" s="313"/>
    </row>
    <row r="5" spans="1:45">
      <c r="A5" s="321" t="s">
        <v>106</v>
      </c>
      <c r="B5" s="321"/>
      <c r="C5" s="321"/>
      <c r="D5" s="514">
        <v>91354</v>
      </c>
      <c r="E5" s="529">
        <f>D5*(1+E6)</f>
        <v>92724.31</v>
      </c>
      <c r="F5" s="313"/>
      <c r="G5" s="311"/>
      <c r="H5" s="311"/>
      <c r="I5" s="311"/>
      <c r="J5" s="311"/>
      <c r="K5" s="311"/>
      <c r="L5" s="311"/>
      <c r="M5" s="311"/>
      <c r="N5" s="311"/>
      <c r="O5" s="311"/>
      <c r="P5" s="311"/>
      <c r="Q5" s="311"/>
      <c r="R5" s="311"/>
      <c r="S5" s="311"/>
      <c r="T5" s="311"/>
      <c r="U5" s="311"/>
      <c r="V5" s="311"/>
      <c r="W5" s="311"/>
      <c r="X5" s="311"/>
      <c r="Y5" s="311"/>
      <c r="Z5" s="311"/>
      <c r="AA5" s="311"/>
      <c r="AB5" s="311"/>
      <c r="AC5" s="311"/>
      <c r="AD5" s="311"/>
      <c r="AE5" s="311"/>
      <c r="AF5" s="311"/>
      <c r="AG5" s="311"/>
      <c r="AH5" s="311"/>
      <c r="AI5" s="313"/>
      <c r="AJ5" s="313"/>
      <c r="AK5" s="313"/>
      <c r="AL5" s="313"/>
      <c r="AM5" s="313"/>
      <c r="AN5" s="313"/>
      <c r="AO5" s="313"/>
      <c r="AP5" s="313"/>
      <c r="AQ5" s="313"/>
      <c r="AR5" s="313"/>
      <c r="AS5" s="313"/>
    </row>
    <row r="6" spans="1:45" ht="39">
      <c r="A6" s="312" t="s">
        <v>110</v>
      </c>
      <c r="B6" s="312" t="s">
        <v>110</v>
      </c>
      <c r="C6" s="323" t="s">
        <v>307</v>
      </c>
      <c r="D6" s="323" t="s">
        <v>110</v>
      </c>
      <c r="E6" s="518">
        <v>1.4999999999999999E-2</v>
      </c>
      <c r="F6" s="313"/>
      <c r="G6" s="311"/>
      <c r="H6" s="311"/>
      <c r="I6" s="311"/>
      <c r="J6" s="311"/>
      <c r="K6" s="311"/>
      <c r="L6" s="311"/>
      <c r="M6" s="311"/>
      <c r="N6" s="311"/>
      <c r="O6" s="311"/>
      <c r="P6" s="311"/>
      <c r="Q6" s="311"/>
      <c r="R6" s="311"/>
      <c r="S6" s="311"/>
      <c r="T6" s="311"/>
      <c r="U6" s="311"/>
      <c r="V6" s="311"/>
      <c r="W6" s="311"/>
      <c r="X6" s="311"/>
      <c r="Y6" s="311"/>
      <c r="Z6" s="311"/>
      <c r="AA6" s="311"/>
      <c r="AB6" s="311"/>
      <c r="AC6" s="311"/>
      <c r="AD6" s="311"/>
      <c r="AE6" s="311"/>
      <c r="AF6" s="311"/>
      <c r="AG6" s="311"/>
      <c r="AH6" s="311"/>
      <c r="AI6" s="313"/>
      <c r="AJ6" s="313"/>
      <c r="AK6" s="313"/>
      <c r="AL6" s="313"/>
      <c r="AM6" s="313"/>
      <c r="AN6" s="313"/>
      <c r="AO6" s="313"/>
      <c r="AP6" s="313"/>
      <c r="AQ6" s="313"/>
      <c r="AR6" s="313"/>
      <c r="AS6" s="313"/>
    </row>
    <row r="7" spans="1:45">
      <c r="A7" s="321" t="s">
        <v>110</v>
      </c>
      <c r="B7" s="312" t="s">
        <v>110</v>
      </c>
      <c r="C7" s="323" t="s">
        <v>110</v>
      </c>
      <c r="D7" s="323" t="s">
        <v>110</v>
      </c>
      <c r="E7" s="323" t="s">
        <v>110</v>
      </c>
      <c r="F7" s="313"/>
      <c r="G7" s="311"/>
      <c r="H7" s="311"/>
      <c r="I7" s="311"/>
      <c r="J7" s="311"/>
      <c r="K7" s="311"/>
      <c r="L7" s="311"/>
      <c r="M7" s="311"/>
      <c r="N7" s="311"/>
      <c r="O7" s="311"/>
      <c r="P7" s="311"/>
      <c r="Q7" s="311"/>
      <c r="R7" s="311"/>
      <c r="S7" s="311"/>
      <c r="T7" s="311"/>
      <c r="U7" s="311"/>
      <c r="V7" s="311"/>
      <c r="W7" s="311"/>
      <c r="X7" s="311"/>
      <c r="Y7" s="311"/>
      <c r="Z7" s="311"/>
      <c r="AA7" s="311"/>
      <c r="AB7" s="311"/>
      <c r="AC7" s="311"/>
      <c r="AD7" s="311"/>
      <c r="AE7" s="311"/>
      <c r="AF7" s="311"/>
      <c r="AG7" s="311"/>
      <c r="AH7" s="311"/>
      <c r="AI7" s="313"/>
      <c r="AJ7" s="313"/>
      <c r="AK7" s="313"/>
      <c r="AL7" s="313"/>
      <c r="AM7" s="313"/>
      <c r="AN7" s="313"/>
      <c r="AO7" s="313"/>
      <c r="AP7" s="313"/>
      <c r="AQ7" s="313"/>
      <c r="AR7" s="313"/>
      <c r="AS7" s="313"/>
    </row>
    <row r="8" spans="1:45">
      <c r="A8" s="321" t="s">
        <v>308</v>
      </c>
      <c r="B8" s="321"/>
      <c r="C8" s="321"/>
      <c r="D8" s="515">
        <v>48670</v>
      </c>
      <c r="E8" s="530">
        <f>E9*E5</f>
        <v>50071.127400000005</v>
      </c>
      <c r="F8" s="313"/>
      <c r="G8" s="311"/>
      <c r="H8" s="311"/>
      <c r="I8" s="311"/>
      <c r="J8" s="311"/>
      <c r="K8" s="311"/>
      <c r="L8" s="311"/>
      <c r="M8" s="311"/>
      <c r="N8" s="311"/>
      <c r="O8" s="311"/>
      <c r="P8" s="311"/>
      <c r="Q8" s="311"/>
      <c r="R8" s="311"/>
      <c r="S8" s="311"/>
      <c r="T8" s="311"/>
      <c r="U8" s="311"/>
      <c r="V8" s="311"/>
      <c r="W8" s="311"/>
      <c r="X8" s="311"/>
      <c r="Y8" s="311"/>
      <c r="Z8" s="311"/>
      <c r="AA8" s="311"/>
      <c r="AB8" s="311"/>
      <c r="AC8" s="311"/>
      <c r="AD8" s="311"/>
      <c r="AE8" s="311"/>
      <c r="AF8" s="311"/>
      <c r="AG8" s="311"/>
      <c r="AH8" s="311"/>
      <c r="AI8" s="313"/>
      <c r="AJ8" s="313"/>
      <c r="AK8" s="313"/>
      <c r="AL8" s="313"/>
      <c r="AM8" s="313"/>
      <c r="AN8" s="313"/>
      <c r="AO8" s="313"/>
      <c r="AP8" s="313"/>
      <c r="AQ8" s="313"/>
      <c r="AR8" s="313"/>
      <c r="AS8" s="313"/>
    </row>
    <row r="9" spans="1:45">
      <c r="A9" s="312" t="s">
        <v>110</v>
      </c>
      <c r="B9" s="325" t="s">
        <v>309</v>
      </c>
      <c r="C9" s="325"/>
      <c r="D9" s="525">
        <f>D8/D5</f>
        <v>0.53276265954419078</v>
      </c>
      <c r="E9" s="525">
        <v>0.54</v>
      </c>
      <c r="F9" s="313"/>
      <c r="G9" s="311"/>
      <c r="H9" s="311"/>
      <c r="I9" s="311"/>
      <c r="J9" s="311"/>
      <c r="K9" s="311"/>
      <c r="L9" s="311"/>
      <c r="M9" s="311"/>
      <c r="N9" s="311"/>
      <c r="O9" s="311"/>
      <c r="P9" s="311"/>
      <c r="Q9" s="311"/>
      <c r="R9" s="311"/>
      <c r="S9" s="311"/>
      <c r="T9" s="311"/>
      <c r="U9" s="311"/>
      <c r="V9" s="311"/>
      <c r="W9" s="311"/>
      <c r="X9" s="311"/>
      <c r="Y9" s="311"/>
      <c r="Z9" s="311"/>
      <c r="AA9" s="311"/>
      <c r="AB9" s="311"/>
      <c r="AC9" s="311"/>
      <c r="AD9" s="311"/>
      <c r="AE9" s="311"/>
      <c r="AF9" s="311"/>
      <c r="AG9" s="311"/>
      <c r="AH9" s="311"/>
      <c r="AI9" s="313"/>
      <c r="AJ9" s="313"/>
      <c r="AK9" s="313"/>
      <c r="AL9" s="313"/>
      <c r="AM9" s="313"/>
      <c r="AN9" s="313"/>
      <c r="AO9" s="313"/>
      <c r="AP9" s="313"/>
      <c r="AQ9" s="313"/>
      <c r="AR9" s="313"/>
      <c r="AS9" s="313"/>
    </row>
    <row r="10" spans="1:45">
      <c r="A10" s="321" t="s">
        <v>310</v>
      </c>
      <c r="B10" s="321"/>
      <c r="C10" s="321"/>
      <c r="D10" s="322">
        <f>D5-D8</f>
        <v>42684</v>
      </c>
      <c r="E10" s="529">
        <f>E5-E8</f>
        <v>42653.182599999993</v>
      </c>
      <c r="F10" s="313"/>
      <c r="G10" s="311"/>
      <c r="H10" s="311"/>
      <c r="I10" s="311"/>
      <c r="J10" s="311"/>
      <c r="K10" s="311"/>
      <c r="L10" s="311"/>
      <c r="M10" s="311"/>
      <c r="N10" s="311"/>
      <c r="O10" s="311"/>
      <c r="P10" s="311"/>
      <c r="Q10" s="311"/>
      <c r="R10" s="311"/>
      <c r="S10" s="311"/>
      <c r="T10" s="311"/>
      <c r="U10" s="311"/>
      <c r="V10" s="311"/>
      <c r="W10" s="311"/>
      <c r="X10" s="311"/>
      <c r="Y10" s="311"/>
      <c r="Z10" s="311"/>
      <c r="AA10" s="311"/>
      <c r="AB10" s="311"/>
      <c r="AC10" s="311"/>
      <c r="AD10" s="311"/>
      <c r="AE10" s="311"/>
      <c r="AF10" s="311"/>
      <c r="AG10" s="311"/>
      <c r="AH10" s="311"/>
      <c r="AI10" s="313"/>
      <c r="AJ10" s="313"/>
      <c r="AK10" s="313"/>
      <c r="AL10" s="313"/>
      <c r="AM10" s="313"/>
      <c r="AN10" s="313"/>
      <c r="AO10" s="313"/>
      <c r="AP10" s="313"/>
      <c r="AQ10" s="313"/>
      <c r="AR10" s="313"/>
      <c r="AS10" s="313"/>
    </row>
    <row r="11" spans="1:45">
      <c r="A11" s="312" t="s">
        <v>110</v>
      </c>
      <c r="B11" s="325" t="s">
        <v>311</v>
      </c>
      <c r="C11" s="325"/>
      <c r="D11" s="526">
        <f>D10/D5</f>
        <v>0.46723734045580928</v>
      </c>
      <c r="E11" s="526">
        <f>E10/E5</f>
        <v>0.45999999999999991</v>
      </c>
      <c r="F11" s="313"/>
      <c r="G11" s="311"/>
      <c r="H11" s="311"/>
      <c r="I11" s="311"/>
      <c r="J11" s="311"/>
      <c r="K11" s="311"/>
      <c r="L11" s="311"/>
      <c r="M11" s="311"/>
      <c r="N11" s="311"/>
      <c r="O11" s="311"/>
      <c r="P11" s="311"/>
      <c r="Q11" s="311"/>
      <c r="R11" s="311"/>
      <c r="S11" s="311"/>
      <c r="T11" s="311"/>
      <c r="U11" s="311"/>
      <c r="V11" s="311"/>
      <c r="W11" s="311"/>
      <c r="X11" s="311"/>
      <c r="Y11" s="311"/>
      <c r="Z11" s="311"/>
      <c r="AA11" s="311"/>
      <c r="AB11" s="311"/>
      <c r="AC11" s="311"/>
      <c r="AD11" s="311"/>
      <c r="AE11" s="311"/>
      <c r="AF11" s="311"/>
      <c r="AG11" s="311"/>
      <c r="AH11" s="311"/>
      <c r="AI11" s="313"/>
      <c r="AJ11" s="313"/>
      <c r="AK11" s="313"/>
      <c r="AL11" s="313"/>
      <c r="AM11" s="313"/>
      <c r="AN11" s="313"/>
      <c r="AO11" s="311"/>
      <c r="AP11" s="311"/>
      <c r="AQ11" s="311"/>
      <c r="AR11" s="311"/>
      <c r="AS11" s="311"/>
    </row>
    <row r="12" spans="1:45">
      <c r="A12" s="321" t="s">
        <v>154</v>
      </c>
      <c r="B12" s="321"/>
      <c r="C12" s="321"/>
      <c r="D12" s="326">
        <f>-366+18112+1667-124+1195+7567-474+383-D16</f>
        <v>24378</v>
      </c>
      <c r="E12" s="530">
        <f>E13*E5</f>
        <v>25962.806800000002</v>
      </c>
      <c r="F12" s="313"/>
      <c r="G12" s="311"/>
      <c r="H12" s="311"/>
      <c r="I12" s="311"/>
      <c r="J12" s="311"/>
      <c r="K12" s="311"/>
      <c r="L12" s="311"/>
      <c r="M12" s="311"/>
      <c r="N12" s="311"/>
      <c r="O12" s="311"/>
      <c r="P12" s="311"/>
      <c r="Q12" s="311"/>
      <c r="R12" s="311"/>
      <c r="S12" s="311"/>
      <c r="T12" s="311"/>
      <c r="U12" s="311"/>
      <c r="V12" s="311"/>
      <c r="W12" s="311"/>
      <c r="X12" s="311"/>
      <c r="Y12" s="311"/>
      <c r="Z12" s="311"/>
      <c r="AA12" s="311"/>
      <c r="AB12" s="311"/>
      <c r="AC12" s="311"/>
      <c r="AD12" s="311"/>
      <c r="AE12" s="311"/>
      <c r="AF12" s="311"/>
      <c r="AG12" s="311"/>
      <c r="AH12" s="311"/>
      <c r="AI12" s="313"/>
      <c r="AJ12" s="313"/>
      <c r="AK12" s="313"/>
      <c r="AL12" s="313"/>
      <c r="AM12" s="313"/>
      <c r="AN12" s="313"/>
      <c r="AO12" s="311"/>
      <c r="AP12" s="311"/>
      <c r="AQ12" s="311"/>
      <c r="AR12" s="311"/>
      <c r="AS12" s="311"/>
    </row>
    <row r="13" spans="1:45">
      <c r="A13" s="312" t="s">
        <v>110</v>
      </c>
      <c r="B13" s="325" t="s">
        <v>312</v>
      </c>
      <c r="C13" s="325"/>
      <c r="D13" s="526">
        <f>D12/D5</f>
        <v>0.26685202618385623</v>
      </c>
      <c r="E13" s="345">
        <v>0.28000000000000003</v>
      </c>
      <c r="F13" s="313"/>
      <c r="G13" s="311"/>
      <c r="H13" s="311"/>
      <c r="I13" s="311"/>
      <c r="J13" s="311"/>
      <c r="K13" s="311"/>
      <c r="L13" s="311"/>
      <c r="M13" s="311"/>
      <c r="N13" s="311"/>
      <c r="O13" s="311"/>
      <c r="P13" s="311"/>
      <c r="Q13" s="311"/>
      <c r="R13" s="311"/>
      <c r="S13" s="311"/>
      <c r="T13" s="311"/>
      <c r="U13" s="311"/>
      <c r="V13" s="311"/>
      <c r="W13" s="311"/>
      <c r="X13" s="311"/>
      <c r="Y13" s="311"/>
      <c r="Z13" s="311"/>
      <c r="AA13" s="311"/>
      <c r="AB13" s="311"/>
      <c r="AC13" s="311"/>
      <c r="AD13" s="311"/>
      <c r="AE13" s="311"/>
      <c r="AF13" s="311"/>
      <c r="AG13" s="311"/>
      <c r="AH13" s="311"/>
      <c r="AI13" s="313"/>
      <c r="AJ13" s="313"/>
      <c r="AK13" s="313"/>
      <c r="AL13" s="313"/>
      <c r="AM13" s="313"/>
      <c r="AN13" s="313"/>
      <c r="AO13" s="311"/>
      <c r="AP13" s="311"/>
      <c r="AQ13" s="311"/>
      <c r="AR13" s="311"/>
      <c r="AS13" s="311"/>
    </row>
    <row r="14" spans="1:45">
      <c r="A14" s="321" t="s">
        <v>121</v>
      </c>
      <c r="B14" s="321"/>
      <c r="C14" s="321"/>
      <c r="D14" s="322">
        <f>D10-D12</f>
        <v>18306</v>
      </c>
      <c r="E14" s="529">
        <f>E10-E12</f>
        <v>16690.375799999991</v>
      </c>
      <c r="F14" s="313"/>
      <c r="G14" s="311"/>
      <c r="H14" s="311"/>
      <c r="I14" s="311"/>
      <c r="J14" s="311"/>
      <c r="K14" s="311"/>
      <c r="L14" s="311"/>
      <c r="M14" s="311"/>
      <c r="N14" s="311"/>
      <c r="O14" s="311"/>
      <c r="P14" s="311"/>
      <c r="Q14" s="311"/>
      <c r="R14" s="311"/>
      <c r="S14" s="311"/>
      <c r="T14" s="311"/>
      <c r="U14" s="311"/>
      <c r="V14" s="311"/>
      <c r="W14" s="311"/>
      <c r="X14" s="311"/>
      <c r="Y14" s="311"/>
      <c r="Z14" s="311"/>
      <c r="AA14" s="311"/>
      <c r="AB14" s="311"/>
      <c r="AC14" s="311"/>
      <c r="AD14" s="311"/>
      <c r="AE14" s="311"/>
      <c r="AF14" s="311"/>
      <c r="AG14" s="311"/>
      <c r="AH14" s="311"/>
      <c r="AI14" s="313"/>
      <c r="AJ14" s="313"/>
      <c r="AK14" s="313"/>
      <c r="AL14" s="313"/>
      <c r="AM14" s="313"/>
      <c r="AN14" s="313"/>
      <c r="AO14" s="311"/>
      <c r="AP14" s="311"/>
      <c r="AQ14" s="311"/>
      <c r="AR14" s="311"/>
      <c r="AS14" s="311"/>
    </row>
    <row r="15" spans="1:45">
      <c r="A15" s="312" t="s">
        <v>110</v>
      </c>
      <c r="B15" s="325" t="s">
        <v>313</v>
      </c>
      <c r="C15" s="325"/>
      <c r="D15" s="526">
        <f>D14/D5</f>
        <v>0.20038531427195305</v>
      </c>
      <c r="E15" s="526">
        <f>E14/E5</f>
        <v>0.17999999999999991</v>
      </c>
      <c r="F15" s="313"/>
      <c r="G15" s="311"/>
      <c r="H15" s="311"/>
      <c r="I15" s="311"/>
      <c r="J15" s="311"/>
      <c r="K15" s="311"/>
      <c r="L15" s="311"/>
      <c r="M15" s="311"/>
      <c r="N15" s="311"/>
      <c r="O15" s="311"/>
      <c r="P15" s="311"/>
      <c r="Q15" s="311"/>
      <c r="R15" s="311"/>
      <c r="S15" s="311"/>
      <c r="T15" s="311"/>
      <c r="U15" s="311"/>
      <c r="V15" s="311"/>
      <c r="W15" s="311"/>
      <c r="X15" s="311"/>
      <c r="Y15" s="311"/>
      <c r="Z15" s="311"/>
      <c r="AA15" s="311"/>
      <c r="AB15" s="311"/>
      <c r="AC15" s="311"/>
      <c r="AD15" s="311"/>
      <c r="AE15" s="311"/>
      <c r="AF15" s="311"/>
      <c r="AG15" s="311"/>
      <c r="AH15" s="311"/>
      <c r="AI15" s="313"/>
      <c r="AJ15" s="313"/>
      <c r="AK15" s="313"/>
      <c r="AL15" s="313"/>
      <c r="AM15" s="313"/>
      <c r="AN15" s="313"/>
      <c r="AO15" s="311"/>
      <c r="AP15" s="311"/>
      <c r="AQ15" s="311"/>
      <c r="AR15" s="311"/>
      <c r="AS15" s="311"/>
    </row>
    <row r="16" spans="1:45">
      <c r="A16" s="312" t="s">
        <v>56</v>
      </c>
      <c r="B16" s="312"/>
      <c r="C16" s="312"/>
      <c r="D16" s="515">
        <v>3582</v>
      </c>
      <c r="E16" s="324">
        <f>E17*E5</f>
        <v>3635.73</v>
      </c>
      <c r="F16" s="313"/>
      <c r="G16" s="311"/>
      <c r="H16" s="311"/>
      <c r="I16" s="311"/>
      <c r="J16" s="311"/>
      <c r="K16" s="311"/>
      <c r="L16" s="311"/>
      <c r="M16" s="311"/>
      <c r="N16" s="311"/>
      <c r="O16" s="311"/>
      <c r="P16" s="311"/>
      <c r="Q16" s="311"/>
      <c r="R16" s="311"/>
      <c r="S16" s="311"/>
      <c r="T16" s="311"/>
      <c r="U16" s="311"/>
      <c r="V16" s="311"/>
      <c r="W16" s="311"/>
      <c r="X16" s="311"/>
      <c r="Y16" s="311"/>
      <c r="Z16" s="311"/>
      <c r="AA16" s="311"/>
      <c r="AB16" s="311"/>
      <c r="AC16" s="311"/>
      <c r="AD16" s="311"/>
      <c r="AE16" s="311"/>
      <c r="AF16" s="311"/>
      <c r="AG16" s="311"/>
      <c r="AH16" s="311"/>
      <c r="AI16" s="313"/>
      <c r="AJ16" s="313"/>
      <c r="AK16" s="313"/>
      <c r="AL16" s="313"/>
      <c r="AM16" s="313"/>
      <c r="AN16" s="313"/>
      <c r="AO16" s="311"/>
      <c r="AP16" s="311"/>
      <c r="AQ16" s="311"/>
      <c r="AR16" s="311"/>
      <c r="AS16" s="311"/>
    </row>
    <row r="17" spans="1:45">
      <c r="A17" s="312" t="s">
        <v>110</v>
      </c>
      <c r="B17" s="325" t="s">
        <v>314</v>
      </c>
      <c r="C17" s="325"/>
      <c r="D17" s="525">
        <f>D16/D5</f>
        <v>3.9210105742496226E-2</v>
      </c>
      <c r="E17" s="525">
        <f>D17</f>
        <v>3.9210105742496226E-2</v>
      </c>
      <c r="F17" s="313"/>
      <c r="G17" s="311"/>
      <c r="H17" s="311"/>
      <c r="I17" s="311"/>
      <c r="J17" s="311"/>
      <c r="K17" s="311"/>
      <c r="L17" s="311"/>
      <c r="M17" s="311"/>
      <c r="N17" s="311"/>
      <c r="O17" s="311"/>
      <c r="P17" s="311"/>
      <c r="Q17" s="311"/>
      <c r="R17" s="311"/>
      <c r="S17" s="311"/>
      <c r="T17" s="311"/>
      <c r="U17" s="311"/>
      <c r="V17" s="311"/>
      <c r="W17" s="311"/>
      <c r="X17" s="311"/>
      <c r="Y17" s="311"/>
      <c r="Z17" s="311"/>
      <c r="AA17" s="311"/>
      <c r="AB17" s="311"/>
      <c r="AC17" s="311"/>
      <c r="AD17" s="311"/>
      <c r="AE17" s="311"/>
      <c r="AF17" s="311"/>
      <c r="AG17" s="311"/>
      <c r="AH17" s="311"/>
      <c r="AI17" s="313"/>
      <c r="AJ17" s="313"/>
      <c r="AK17" s="313"/>
      <c r="AL17" s="313"/>
      <c r="AM17" s="313"/>
      <c r="AN17" s="313"/>
      <c r="AO17" s="313"/>
      <c r="AP17" s="313"/>
      <c r="AQ17" s="313"/>
      <c r="AR17" s="313"/>
      <c r="AS17" s="313"/>
    </row>
    <row r="18" spans="1:45">
      <c r="A18" s="321" t="s">
        <v>123</v>
      </c>
      <c r="B18" s="321"/>
      <c r="C18" s="322" t="s">
        <v>110</v>
      </c>
      <c r="D18" s="322">
        <f>D14-D16</f>
        <v>14724</v>
      </c>
      <c r="E18" s="529">
        <f>E14-E16</f>
        <v>13054.645799999991</v>
      </c>
      <c r="F18" s="313"/>
      <c r="G18" s="311"/>
      <c r="H18" s="311"/>
      <c r="I18" s="311"/>
      <c r="J18" s="311"/>
      <c r="K18" s="311"/>
      <c r="L18" s="311"/>
      <c r="M18" s="311"/>
      <c r="N18" s="311"/>
      <c r="O18" s="311"/>
      <c r="P18" s="311"/>
      <c r="Q18" s="311"/>
      <c r="R18" s="311"/>
      <c r="S18" s="311"/>
      <c r="T18" s="311"/>
      <c r="U18" s="311"/>
      <c r="V18" s="311"/>
      <c r="W18" s="311"/>
      <c r="X18" s="311"/>
      <c r="Y18" s="311"/>
      <c r="Z18" s="311"/>
      <c r="AA18" s="311"/>
      <c r="AB18" s="311"/>
      <c r="AC18" s="311"/>
      <c r="AD18" s="311"/>
      <c r="AE18" s="311"/>
      <c r="AF18" s="311"/>
      <c r="AG18" s="311"/>
      <c r="AH18" s="311"/>
      <c r="AI18" s="313"/>
      <c r="AJ18" s="313"/>
      <c r="AK18" s="313"/>
      <c r="AL18" s="313"/>
      <c r="AM18" s="313"/>
      <c r="AN18" s="313"/>
      <c r="AO18" s="313"/>
      <c r="AP18" s="313"/>
      <c r="AQ18" s="313"/>
      <c r="AR18" s="313"/>
      <c r="AS18" s="313"/>
    </row>
    <row r="19" spans="1:45">
      <c r="A19" s="312" t="s">
        <v>110</v>
      </c>
      <c r="B19" s="325" t="s">
        <v>124</v>
      </c>
      <c r="C19" s="325"/>
      <c r="D19" s="525">
        <f>D18/D5</f>
        <v>0.16117520852945683</v>
      </c>
      <c r="E19" s="525">
        <f>E18/E5</f>
        <v>0.14078989425750368</v>
      </c>
      <c r="F19" s="313"/>
      <c r="G19" s="311"/>
      <c r="H19" s="311"/>
      <c r="I19" s="311"/>
      <c r="J19" s="311"/>
      <c r="K19" s="311"/>
      <c r="L19" s="311"/>
      <c r="M19" s="311"/>
      <c r="N19" s="311"/>
      <c r="O19" s="311"/>
      <c r="P19" s="311"/>
      <c r="Q19" s="311"/>
      <c r="R19" s="311"/>
      <c r="S19" s="311"/>
      <c r="T19" s="311"/>
      <c r="U19" s="311"/>
      <c r="V19" s="311"/>
      <c r="W19" s="311"/>
      <c r="X19" s="311"/>
      <c r="Y19" s="311"/>
      <c r="Z19" s="311"/>
      <c r="AA19" s="311"/>
      <c r="AB19" s="311"/>
      <c r="AC19" s="311"/>
      <c r="AD19" s="311"/>
      <c r="AE19" s="311"/>
      <c r="AF19" s="311"/>
      <c r="AG19" s="311"/>
      <c r="AH19" s="311"/>
      <c r="AI19" s="313"/>
      <c r="AJ19" s="313"/>
      <c r="AK19" s="313"/>
      <c r="AL19" s="313"/>
      <c r="AM19" s="313"/>
      <c r="AN19" s="313"/>
      <c r="AO19" s="313"/>
      <c r="AP19" s="313"/>
      <c r="AQ19" s="313"/>
      <c r="AR19" s="313"/>
      <c r="AS19" s="313"/>
    </row>
    <row r="20" spans="1:45">
      <c r="A20" s="321" t="s">
        <v>335</v>
      </c>
      <c r="B20" s="321"/>
      <c r="C20" s="321"/>
      <c r="D20" s="326">
        <v>0</v>
      </c>
      <c r="E20" s="326">
        <v>0</v>
      </c>
      <c r="F20" s="313"/>
      <c r="G20" s="311"/>
      <c r="H20" s="311"/>
      <c r="I20" s="311"/>
      <c r="J20" s="311"/>
      <c r="K20" s="311"/>
      <c r="L20" s="311"/>
      <c r="M20" s="311"/>
      <c r="N20" s="311"/>
      <c r="O20" s="311"/>
      <c r="P20" s="311"/>
      <c r="Q20" s="311"/>
      <c r="R20" s="311"/>
      <c r="S20" s="311"/>
      <c r="T20" s="311"/>
      <c r="U20" s="311"/>
      <c r="V20" s="311"/>
      <c r="W20" s="311"/>
      <c r="X20" s="311"/>
      <c r="Y20" s="311"/>
      <c r="Z20" s="311"/>
      <c r="AA20" s="311"/>
      <c r="AB20" s="311"/>
      <c r="AC20" s="311"/>
      <c r="AD20" s="311"/>
      <c r="AE20" s="311"/>
      <c r="AF20" s="311"/>
      <c r="AG20" s="311"/>
      <c r="AH20" s="311"/>
      <c r="AI20" s="313"/>
      <c r="AJ20" s="313"/>
      <c r="AK20" s="313"/>
      <c r="AL20" s="313"/>
      <c r="AM20" s="313"/>
      <c r="AN20" s="313"/>
      <c r="AO20" s="313"/>
      <c r="AP20" s="313"/>
      <c r="AQ20" s="313"/>
      <c r="AR20" s="313"/>
      <c r="AS20" s="313"/>
    </row>
    <row r="21" spans="1:45">
      <c r="A21" s="321" t="s">
        <v>127</v>
      </c>
      <c r="B21" s="321"/>
      <c r="C21" s="321"/>
      <c r="D21" s="323" t="s">
        <v>110</v>
      </c>
      <c r="E21" s="323" t="s">
        <v>110</v>
      </c>
      <c r="F21" s="313"/>
      <c r="G21" s="311"/>
      <c r="H21" s="311"/>
      <c r="I21" s="311"/>
      <c r="J21" s="311"/>
      <c r="K21" s="311"/>
      <c r="L21" s="311"/>
      <c r="M21" s="311"/>
      <c r="N21" s="311"/>
      <c r="O21" s="311"/>
      <c r="P21" s="311"/>
      <c r="Q21" s="311"/>
      <c r="R21" s="311"/>
      <c r="S21" s="311"/>
      <c r="T21" s="311"/>
      <c r="U21" s="311"/>
      <c r="V21" s="311"/>
      <c r="W21" s="311"/>
      <c r="X21" s="311"/>
      <c r="Y21" s="311"/>
      <c r="Z21" s="311"/>
      <c r="AA21" s="311"/>
      <c r="AB21" s="311"/>
      <c r="AC21" s="311"/>
      <c r="AD21" s="311"/>
      <c r="AE21" s="311"/>
      <c r="AF21" s="311"/>
      <c r="AG21" s="311"/>
      <c r="AH21" s="311"/>
      <c r="AI21" s="313"/>
      <c r="AJ21" s="313"/>
      <c r="AK21" s="313"/>
      <c r="AL21" s="313"/>
      <c r="AM21" s="313"/>
      <c r="AN21" s="313"/>
      <c r="AO21" s="313"/>
      <c r="AP21" s="313"/>
      <c r="AQ21" s="313"/>
      <c r="AR21" s="313"/>
      <c r="AS21" s="313"/>
    </row>
    <row r="22" spans="1:45">
      <c r="A22" s="312" t="s">
        <v>110</v>
      </c>
      <c r="B22" s="312" t="s">
        <v>128</v>
      </c>
      <c r="C22" s="312"/>
      <c r="D22" s="326">
        <f>358</f>
        <v>358</v>
      </c>
      <c r="E22" s="324">
        <f>D22</f>
        <v>358</v>
      </c>
      <c r="F22" s="313"/>
      <c r="G22" s="311"/>
      <c r="H22" s="311"/>
      <c r="I22" s="311"/>
      <c r="J22" s="311"/>
      <c r="K22" s="311"/>
      <c r="L22" s="311"/>
      <c r="M22" s="311"/>
      <c r="N22" s="311"/>
      <c r="O22" s="311"/>
      <c r="P22" s="311"/>
      <c r="Q22" s="311"/>
      <c r="R22" s="311"/>
      <c r="S22" s="311"/>
      <c r="T22" s="311"/>
      <c r="U22" s="311"/>
      <c r="V22" s="311"/>
      <c r="W22" s="311"/>
      <c r="X22" s="311"/>
      <c r="Y22" s="311"/>
      <c r="Z22" s="311"/>
      <c r="AA22" s="311"/>
      <c r="AB22" s="311"/>
      <c r="AC22" s="311"/>
      <c r="AD22" s="311"/>
      <c r="AE22" s="311"/>
      <c r="AF22" s="311"/>
      <c r="AG22" s="311"/>
      <c r="AH22" s="311"/>
      <c r="AI22" s="313"/>
      <c r="AJ22" s="313"/>
      <c r="AK22" s="313"/>
      <c r="AL22" s="313"/>
      <c r="AM22" s="313"/>
      <c r="AN22" s="313"/>
      <c r="AO22" s="313"/>
      <c r="AP22" s="313"/>
      <c r="AQ22" s="313"/>
      <c r="AR22" s="313"/>
      <c r="AS22" s="313"/>
    </row>
    <row r="23" spans="1:45">
      <c r="A23" s="312" t="s">
        <v>110</v>
      </c>
      <c r="B23" s="312" t="s">
        <v>206</v>
      </c>
      <c r="C23" s="312"/>
      <c r="D23" s="327">
        <f>1843</f>
        <v>1843</v>
      </c>
      <c r="E23" s="328">
        <f>D23</f>
        <v>1843</v>
      </c>
      <c r="F23" s="313"/>
      <c r="G23" s="311"/>
      <c r="H23" s="311"/>
      <c r="I23" s="311"/>
      <c r="J23" s="311"/>
      <c r="K23" s="311"/>
      <c r="L23" s="311"/>
      <c r="M23" s="311"/>
      <c r="N23" s="311"/>
      <c r="O23" s="311"/>
      <c r="P23" s="311"/>
      <c r="Q23" s="311"/>
      <c r="R23" s="311"/>
      <c r="S23" s="311"/>
      <c r="T23" s="311"/>
      <c r="U23" s="311"/>
      <c r="V23" s="311"/>
      <c r="W23" s="311"/>
      <c r="X23" s="311"/>
      <c r="Y23" s="311"/>
      <c r="Z23" s="311"/>
      <c r="AA23" s="311"/>
      <c r="AB23" s="311"/>
      <c r="AC23" s="311"/>
      <c r="AD23" s="311"/>
      <c r="AE23" s="311"/>
      <c r="AF23" s="311"/>
      <c r="AG23" s="311"/>
      <c r="AH23" s="311"/>
      <c r="AI23" s="313"/>
      <c r="AJ23" s="313"/>
      <c r="AK23" s="313"/>
      <c r="AL23" s="313"/>
      <c r="AM23" s="313"/>
      <c r="AN23" s="313"/>
      <c r="AO23" s="313"/>
      <c r="AP23" s="313"/>
      <c r="AQ23" s="313"/>
      <c r="AR23" s="313"/>
      <c r="AS23" s="313"/>
    </row>
    <row r="24" spans="1:45">
      <c r="A24" s="312" t="s">
        <v>110</v>
      </c>
      <c r="B24" s="321" t="s">
        <v>317</v>
      </c>
      <c r="C24" s="321"/>
      <c r="D24" s="329">
        <f>D23-D22</f>
        <v>1485</v>
      </c>
      <c r="E24" s="329">
        <f>E23-E22</f>
        <v>1485</v>
      </c>
      <c r="F24" s="311"/>
      <c r="G24" s="311"/>
      <c r="H24" s="311"/>
      <c r="I24" s="311"/>
      <c r="J24" s="311"/>
      <c r="K24" s="311"/>
      <c r="L24" s="311"/>
      <c r="M24" s="311"/>
      <c r="N24" s="311"/>
      <c r="O24" s="311"/>
      <c r="P24" s="311"/>
      <c r="Q24" s="311"/>
      <c r="R24" s="311"/>
      <c r="S24" s="311"/>
      <c r="T24" s="311"/>
      <c r="U24" s="311"/>
      <c r="V24" s="311"/>
      <c r="W24" s="311"/>
      <c r="X24" s="311"/>
      <c r="Y24" s="311"/>
      <c r="Z24" s="311"/>
      <c r="AA24" s="311"/>
      <c r="AB24" s="311"/>
      <c r="AC24" s="311"/>
      <c r="AD24" s="311"/>
      <c r="AE24" s="311"/>
      <c r="AF24" s="311"/>
      <c r="AG24" s="311"/>
      <c r="AH24" s="311"/>
      <c r="AI24" s="313"/>
      <c r="AJ24" s="313"/>
      <c r="AK24" s="313"/>
      <c r="AL24" s="313"/>
      <c r="AM24" s="313"/>
      <c r="AN24" s="313"/>
      <c r="AO24" s="313"/>
      <c r="AP24" s="313"/>
      <c r="AQ24" s="313"/>
      <c r="AR24" s="313"/>
      <c r="AS24" s="313"/>
    </row>
    <row r="25" spans="1:45">
      <c r="A25" s="321" t="s">
        <v>318</v>
      </c>
      <c r="B25" s="321"/>
      <c r="C25" s="321"/>
      <c r="D25" s="322">
        <f>D18-D24-D20</f>
        <v>13239</v>
      </c>
      <c r="E25" s="529">
        <f>E18-E24-E20</f>
        <v>11569.645799999991</v>
      </c>
      <c r="F25" s="313"/>
      <c r="G25" s="311"/>
      <c r="H25" s="311"/>
      <c r="I25" s="311"/>
      <c r="J25" s="311"/>
      <c r="K25" s="311"/>
      <c r="L25" s="311"/>
      <c r="M25" s="311"/>
      <c r="N25" s="311"/>
      <c r="O25" s="311"/>
      <c r="P25" s="311"/>
      <c r="Q25" s="311"/>
      <c r="R25" s="311"/>
      <c r="S25" s="311"/>
      <c r="T25" s="311"/>
      <c r="U25" s="311"/>
      <c r="V25" s="311"/>
      <c r="W25" s="311"/>
      <c r="X25" s="311"/>
      <c r="Y25" s="311"/>
      <c r="Z25" s="311"/>
      <c r="AA25" s="311"/>
      <c r="AB25" s="311"/>
      <c r="AC25" s="311"/>
      <c r="AD25" s="311"/>
      <c r="AE25" s="311"/>
      <c r="AF25" s="311"/>
      <c r="AG25" s="311"/>
      <c r="AH25" s="311"/>
      <c r="AI25" s="313"/>
      <c r="AJ25" s="313"/>
      <c r="AK25" s="313"/>
      <c r="AL25" s="313"/>
      <c r="AM25" s="313"/>
      <c r="AN25" s="313"/>
      <c r="AO25" s="313"/>
      <c r="AP25" s="313"/>
      <c r="AQ25" s="313"/>
      <c r="AR25" s="313"/>
      <c r="AS25" s="313"/>
    </row>
    <row r="26" spans="1:45">
      <c r="A26" s="312" t="s">
        <v>110</v>
      </c>
      <c r="B26" s="325" t="s">
        <v>319</v>
      </c>
      <c r="C26" s="325"/>
      <c r="D26" s="526">
        <f>D25/D5</f>
        <v>0.14491976268143705</v>
      </c>
      <c r="E26" s="526">
        <f>E25/E5</f>
        <v>0.12477467667324774</v>
      </c>
      <c r="F26" s="313"/>
      <c r="G26" s="311"/>
      <c r="H26" s="311"/>
      <c r="I26" s="311"/>
      <c r="J26" s="311"/>
      <c r="K26" s="311"/>
      <c r="L26" s="311"/>
      <c r="M26" s="311"/>
      <c r="N26" s="311"/>
      <c r="O26" s="311"/>
      <c r="P26" s="311"/>
      <c r="Q26" s="311"/>
      <c r="R26" s="311"/>
      <c r="S26" s="311"/>
      <c r="T26" s="311"/>
      <c r="U26" s="311"/>
      <c r="V26" s="311"/>
      <c r="W26" s="311"/>
      <c r="X26" s="311"/>
      <c r="Y26" s="311"/>
      <c r="Z26" s="311"/>
      <c r="AA26" s="311"/>
      <c r="AB26" s="311"/>
      <c r="AC26" s="311"/>
      <c r="AD26" s="311"/>
      <c r="AE26" s="311"/>
      <c r="AF26" s="311"/>
      <c r="AG26" s="311"/>
      <c r="AH26" s="311"/>
      <c r="AI26" s="313"/>
      <c r="AJ26" s="313"/>
      <c r="AK26" s="313"/>
      <c r="AL26" s="313"/>
      <c r="AM26" s="313"/>
      <c r="AN26" s="313"/>
      <c r="AO26" s="313"/>
      <c r="AP26" s="313"/>
      <c r="AQ26" s="313"/>
      <c r="AR26" s="313"/>
      <c r="AS26" s="313"/>
    </row>
    <row r="27" spans="1:45">
      <c r="A27" s="312" t="s">
        <v>320</v>
      </c>
      <c r="B27" s="312"/>
      <c r="C27" s="312"/>
      <c r="D27" s="324">
        <f>3314-1249</f>
        <v>2065</v>
      </c>
      <c r="E27" s="530">
        <f>E28*E25</f>
        <v>1804.6165554044853</v>
      </c>
      <c r="F27" s="313"/>
      <c r="G27" s="311"/>
      <c r="H27" s="311"/>
      <c r="I27" s="311"/>
      <c r="J27" s="311"/>
      <c r="K27" s="311"/>
      <c r="L27" s="311"/>
      <c r="M27" s="311"/>
      <c r="N27" s="311"/>
      <c r="O27" s="311"/>
      <c r="P27" s="311"/>
      <c r="Q27" s="311"/>
      <c r="R27" s="311"/>
      <c r="S27" s="311"/>
      <c r="T27" s="311"/>
      <c r="U27" s="311"/>
      <c r="V27" s="311"/>
      <c r="W27" s="311"/>
      <c r="X27" s="311"/>
      <c r="Y27" s="311"/>
      <c r="Z27" s="311"/>
      <c r="AA27" s="311"/>
      <c r="AB27" s="311"/>
      <c r="AC27" s="311"/>
      <c r="AD27" s="311"/>
      <c r="AE27" s="311"/>
      <c r="AF27" s="311"/>
      <c r="AG27" s="311"/>
      <c r="AH27" s="311"/>
      <c r="AI27" s="313"/>
      <c r="AJ27" s="313"/>
      <c r="AK27" s="313"/>
      <c r="AL27" s="313"/>
      <c r="AM27" s="313"/>
      <c r="AN27" s="313"/>
      <c r="AO27" s="313"/>
      <c r="AP27" s="313"/>
      <c r="AQ27" s="313"/>
      <c r="AR27" s="313"/>
      <c r="AS27" s="313"/>
    </row>
    <row r="28" spans="1:45">
      <c r="A28" s="312" t="s">
        <v>110</v>
      </c>
      <c r="B28" s="325" t="s">
        <v>321</v>
      </c>
      <c r="C28" s="325"/>
      <c r="D28" s="527">
        <f>D27/D25</f>
        <v>0.15597854822871818</v>
      </c>
      <c r="E28" s="359">
        <f>D28</f>
        <v>0.15597854822871818</v>
      </c>
      <c r="F28" s="313"/>
      <c r="G28" s="311"/>
      <c r="H28" s="311"/>
      <c r="I28" s="311"/>
      <c r="J28" s="311"/>
      <c r="K28" s="311"/>
      <c r="L28" s="311"/>
      <c r="M28" s="311"/>
      <c r="N28" s="311"/>
      <c r="O28" s="311"/>
      <c r="P28" s="311"/>
      <c r="Q28" s="311"/>
      <c r="R28" s="311"/>
      <c r="S28" s="311"/>
      <c r="T28" s="311"/>
      <c r="U28" s="311"/>
      <c r="V28" s="311"/>
      <c r="W28" s="311"/>
      <c r="X28" s="311"/>
      <c r="Y28" s="311"/>
      <c r="Z28" s="311"/>
      <c r="AA28" s="311"/>
      <c r="AB28" s="311"/>
      <c r="AC28" s="311"/>
      <c r="AD28" s="311"/>
      <c r="AE28" s="311"/>
      <c r="AF28" s="311"/>
      <c r="AG28" s="311"/>
      <c r="AH28" s="311"/>
      <c r="AI28" s="313"/>
      <c r="AJ28" s="313"/>
      <c r="AK28" s="313"/>
      <c r="AL28" s="313"/>
      <c r="AM28" s="313"/>
      <c r="AN28" s="313"/>
      <c r="AO28" s="313"/>
      <c r="AP28" s="313"/>
      <c r="AQ28" s="313"/>
      <c r="AR28" s="313"/>
      <c r="AS28" s="313"/>
    </row>
    <row r="29" spans="1:45">
      <c r="A29" s="321" t="s">
        <v>336</v>
      </c>
      <c r="B29" s="321"/>
      <c r="C29" s="321"/>
      <c r="D29" s="322">
        <f>D25-D27</f>
        <v>11174</v>
      </c>
      <c r="E29" s="529">
        <f>E25-E27</f>
        <v>9765.0292445955056</v>
      </c>
      <c r="F29" s="313"/>
      <c r="G29" s="311"/>
      <c r="H29" s="311"/>
      <c r="I29" s="311"/>
      <c r="J29" s="311"/>
      <c r="K29" s="311"/>
      <c r="L29" s="311"/>
      <c r="M29" s="311"/>
      <c r="N29" s="311"/>
      <c r="O29" s="311"/>
      <c r="P29" s="311"/>
      <c r="Q29" s="311"/>
      <c r="R29" s="311"/>
      <c r="S29" s="311"/>
      <c r="T29" s="311"/>
      <c r="U29" s="311"/>
      <c r="V29" s="311"/>
      <c r="W29" s="311"/>
      <c r="X29" s="311"/>
      <c r="Y29" s="311"/>
      <c r="Z29" s="311"/>
      <c r="AA29" s="311"/>
      <c r="AB29" s="311"/>
      <c r="AC29" s="311"/>
      <c r="AD29" s="311"/>
      <c r="AE29" s="311"/>
      <c r="AF29" s="311"/>
      <c r="AG29" s="311"/>
      <c r="AH29" s="311"/>
      <c r="AI29" s="313"/>
      <c r="AJ29" s="313"/>
      <c r="AK29" s="313"/>
      <c r="AL29" s="313"/>
      <c r="AM29" s="313"/>
      <c r="AN29" s="313"/>
      <c r="AO29" s="313"/>
      <c r="AP29" s="313"/>
      <c r="AQ29" s="313"/>
      <c r="AR29" s="313"/>
      <c r="AS29" s="313"/>
    </row>
    <row r="30" spans="1:45">
      <c r="A30" s="312" t="s">
        <v>110</v>
      </c>
      <c r="B30" s="312" t="s">
        <v>347</v>
      </c>
      <c r="C30" s="312"/>
      <c r="D30" s="515">
        <v>290</v>
      </c>
      <c r="E30" s="515">
        <f>D30</f>
        <v>290</v>
      </c>
      <c r="F30" s="313"/>
      <c r="G30" s="311"/>
      <c r="H30" s="311"/>
      <c r="I30" s="311"/>
      <c r="J30" s="311"/>
      <c r="K30" s="311"/>
      <c r="L30" s="311"/>
      <c r="M30" s="311"/>
      <c r="N30" s="311"/>
      <c r="O30" s="311"/>
      <c r="P30" s="311"/>
      <c r="Q30" s="311"/>
      <c r="R30" s="311"/>
      <c r="S30" s="311"/>
      <c r="T30" s="311"/>
      <c r="U30" s="311"/>
      <c r="V30" s="311"/>
      <c r="W30" s="311"/>
      <c r="X30" s="311"/>
      <c r="Y30" s="311"/>
      <c r="Z30" s="311"/>
      <c r="AA30" s="311"/>
      <c r="AB30" s="311"/>
      <c r="AC30" s="311"/>
      <c r="AD30" s="311"/>
      <c r="AE30" s="311"/>
      <c r="AF30" s="311"/>
      <c r="AG30" s="311"/>
      <c r="AH30" s="311"/>
      <c r="AI30" s="313"/>
      <c r="AJ30" s="313"/>
      <c r="AK30" s="313"/>
      <c r="AL30" s="313"/>
      <c r="AM30" s="313"/>
      <c r="AN30" s="313"/>
      <c r="AO30" s="313"/>
      <c r="AP30" s="313"/>
      <c r="AQ30" s="313"/>
      <c r="AR30" s="313"/>
      <c r="AS30" s="313"/>
    </row>
    <row r="31" spans="1:45">
      <c r="A31" s="312" t="s">
        <v>110</v>
      </c>
      <c r="B31" s="312" t="s">
        <v>348</v>
      </c>
      <c r="C31" s="312"/>
      <c r="D31" s="515" t="s">
        <v>110</v>
      </c>
      <c r="E31" s="515" t="s">
        <v>110</v>
      </c>
      <c r="F31" s="313"/>
      <c r="G31" s="311"/>
      <c r="H31" s="311"/>
      <c r="I31" s="311"/>
      <c r="J31" s="311"/>
      <c r="K31" s="311"/>
      <c r="L31" s="311"/>
      <c r="M31" s="311"/>
      <c r="N31" s="311"/>
      <c r="O31" s="311"/>
      <c r="P31" s="311"/>
      <c r="Q31" s="311"/>
      <c r="R31" s="311"/>
      <c r="S31" s="311"/>
      <c r="T31" s="311"/>
      <c r="U31" s="311"/>
      <c r="V31" s="311"/>
      <c r="W31" s="311"/>
      <c r="X31" s="311"/>
      <c r="Y31" s="311"/>
      <c r="Z31" s="311"/>
      <c r="AA31" s="311"/>
      <c r="AB31" s="311"/>
      <c r="AC31" s="311"/>
      <c r="AD31" s="311"/>
      <c r="AE31" s="311"/>
      <c r="AF31" s="311"/>
      <c r="AG31" s="311"/>
      <c r="AH31" s="311"/>
      <c r="AI31" s="313"/>
      <c r="AJ31" s="313"/>
      <c r="AK31" s="313"/>
      <c r="AL31" s="313"/>
      <c r="AM31" s="313"/>
      <c r="AN31" s="313"/>
      <c r="AO31" s="313"/>
      <c r="AP31" s="313"/>
      <c r="AQ31" s="313"/>
      <c r="AR31" s="313"/>
      <c r="AS31" s="313"/>
    </row>
    <row r="32" spans="1:45">
      <c r="A32" s="321" t="s">
        <v>340</v>
      </c>
      <c r="B32" s="321"/>
      <c r="C32" s="321"/>
      <c r="D32" s="322">
        <f>D29-D30</f>
        <v>10884</v>
      </c>
      <c r="E32" s="529">
        <f>E29-E30</f>
        <v>9475.0292445955056</v>
      </c>
      <c r="F32" s="313"/>
      <c r="G32" s="311"/>
      <c r="H32" s="311"/>
      <c r="I32" s="311"/>
      <c r="J32" s="311"/>
      <c r="K32" s="311"/>
      <c r="L32" s="311"/>
      <c r="M32" s="311"/>
      <c r="N32" s="311"/>
      <c r="O32" s="311"/>
      <c r="P32" s="311"/>
      <c r="Q32" s="311"/>
      <c r="R32" s="311"/>
      <c r="S32" s="311"/>
      <c r="T32" s="311"/>
      <c r="U32" s="311"/>
      <c r="V32" s="311"/>
      <c r="W32" s="311"/>
      <c r="X32" s="311"/>
      <c r="Y32" s="311"/>
      <c r="Z32" s="311"/>
      <c r="AA32" s="311"/>
      <c r="AB32" s="311"/>
      <c r="AC32" s="311"/>
      <c r="AD32" s="311"/>
      <c r="AE32" s="311"/>
      <c r="AF32" s="311"/>
      <c r="AG32" s="311"/>
      <c r="AH32" s="311"/>
      <c r="AI32" s="313"/>
      <c r="AJ32" s="313"/>
      <c r="AK32" s="313"/>
      <c r="AL32" s="313"/>
      <c r="AM32" s="313"/>
      <c r="AN32" s="313"/>
      <c r="AO32" s="313"/>
      <c r="AP32" s="313"/>
      <c r="AQ32" s="313"/>
      <c r="AR32" s="313"/>
      <c r="AS32" s="313"/>
    </row>
    <row r="33" spans="1:45">
      <c r="A33" s="321" t="s">
        <v>341</v>
      </c>
      <c r="B33" s="321"/>
      <c r="C33" s="321"/>
      <c r="D33" s="312" t="s">
        <v>110</v>
      </c>
      <c r="E33" s="312" t="s">
        <v>110</v>
      </c>
      <c r="F33" s="313"/>
      <c r="G33" s="311"/>
      <c r="H33" s="311"/>
      <c r="I33" s="311"/>
      <c r="J33" s="311"/>
      <c r="K33" s="311"/>
      <c r="L33" s="311"/>
      <c r="M33" s="311"/>
      <c r="N33" s="311"/>
      <c r="O33" s="311"/>
      <c r="P33" s="311"/>
      <c r="Q33" s="311"/>
      <c r="R33" s="311"/>
      <c r="S33" s="311"/>
      <c r="T33" s="311"/>
      <c r="U33" s="311"/>
      <c r="V33" s="311"/>
      <c r="W33" s="311"/>
      <c r="X33" s="311"/>
      <c r="Y33" s="311"/>
      <c r="Z33" s="311"/>
      <c r="AA33" s="311"/>
      <c r="AB33" s="311"/>
      <c r="AC33" s="311"/>
      <c r="AD33" s="311"/>
      <c r="AE33" s="311"/>
      <c r="AF33" s="311"/>
      <c r="AG33" s="311"/>
      <c r="AH33" s="311"/>
      <c r="AI33" s="313"/>
      <c r="AJ33" s="313"/>
      <c r="AK33" s="313"/>
      <c r="AL33" s="313"/>
      <c r="AM33" s="313"/>
      <c r="AN33" s="313"/>
      <c r="AO33" s="313"/>
      <c r="AP33" s="313"/>
      <c r="AQ33" s="313"/>
      <c r="AR33" s="313"/>
      <c r="AS33" s="313"/>
    </row>
    <row r="34" spans="1:45">
      <c r="A34" s="312" t="s">
        <v>110</v>
      </c>
      <c r="B34" s="312" t="s">
        <v>342</v>
      </c>
      <c r="C34" s="312"/>
      <c r="D34" s="524">
        <f>D32/D37</f>
        <v>4.1926040061633278</v>
      </c>
      <c r="E34" s="524">
        <f>E32/E37</f>
        <v>3.6498571820475751</v>
      </c>
      <c r="F34" s="313"/>
      <c r="G34" s="311"/>
      <c r="H34" s="311"/>
      <c r="I34" s="311"/>
      <c r="J34" s="311"/>
      <c r="K34" s="311"/>
      <c r="L34" s="311"/>
      <c r="M34" s="311"/>
      <c r="N34" s="311"/>
      <c r="O34" s="311"/>
      <c r="P34" s="311"/>
      <c r="Q34" s="311"/>
      <c r="R34" s="311"/>
      <c r="S34" s="311"/>
      <c r="T34" s="311"/>
      <c r="U34" s="311"/>
      <c r="V34" s="311"/>
      <c r="W34" s="311"/>
      <c r="X34" s="311"/>
      <c r="Y34" s="311"/>
      <c r="Z34" s="311"/>
      <c r="AA34" s="311"/>
      <c r="AB34" s="311"/>
      <c r="AC34" s="311"/>
      <c r="AD34" s="311"/>
      <c r="AE34" s="311"/>
      <c r="AF34" s="311"/>
      <c r="AG34" s="311"/>
      <c r="AH34" s="311"/>
      <c r="AI34" s="313"/>
      <c r="AJ34" s="313"/>
      <c r="AK34" s="313"/>
      <c r="AL34" s="313"/>
      <c r="AM34" s="313"/>
      <c r="AN34" s="313"/>
      <c r="AO34" s="313"/>
      <c r="AP34" s="313"/>
      <c r="AQ34" s="313"/>
      <c r="AR34" s="313"/>
      <c r="AS34" s="313"/>
    </row>
    <row r="35" spans="1:45">
      <c r="A35" s="312" t="s">
        <v>110</v>
      </c>
      <c r="B35" s="312" t="s">
        <v>343</v>
      </c>
      <c r="C35" s="312"/>
      <c r="D35" s="524">
        <f>D32/D38</f>
        <v>4.1877645248172373</v>
      </c>
      <c r="E35" s="524">
        <f>E32/E38</f>
        <v>3.6456441879936534</v>
      </c>
      <c r="F35" s="313"/>
      <c r="G35" s="311"/>
      <c r="H35" s="311"/>
      <c r="I35" s="311"/>
      <c r="J35" s="311"/>
      <c r="K35" s="311"/>
      <c r="L35" s="311"/>
      <c r="M35" s="311"/>
      <c r="N35" s="311"/>
      <c r="O35" s="311"/>
      <c r="P35" s="311"/>
      <c r="Q35" s="311"/>
      <c r="R35" s="311"/>
      <c r="S35" s="311"/>
      <c r="T35" s="311"/>
      <c r="U35" s="311"/>
      <c r="V35" s="311"/>
      <c r="W35" s="311"/>
      <c r="X35" s="311"/>
      <c r="Y35" s="311"/>
      <c r="Z35" s="311"/>
      <c r="AA35" s="311"/>
      <c r="AB35" s="311"/>
      <c r="AC35" s="311"/>
      <c r="AD35" s="311"/>
      <c r="AE35" s="311"/>
      <c r="AF35" s="311"/>
      <c r="AG35" s="311"/>
      <c r="AH35" s="311"/>
      <c r="AI35" s="313"/>
      <c r="AJ35" s="313"/>
      <c r="AK35" s="313"/>
      <c r="AL35" s="313"/>
      <c r="AM35" s="313"/>
      <c r="AN35" s="313"/>
      <c r="AO35" s="313"/>
      <c r="AP35" s="313"/>
      <c r="AQ35" s="313"/>
      <c r="AR35" s="313"/>
      <c r="AS35" s="313"/>
    </row>
    <row r="36" spans="1:45">
      <c r="A36" s="321" t="s">
        <v>344</v>
      </c>
      <c r="B36" s="321"/>
      <c r="C36" s="321"/>
      <c r="D36" s="322" t="s">
        <v>110</v>
      </c>
      <c r="E36" s="322" t="s">
        <v>110</v>
      </c>
      <c r="F36" s="313"/>
      <c r="G36" s="311"/>
      <c r="H36" s="311"/>
      <c r="I36" s="311"/>
      <c r="J36" s="311"/>
      <c r="K36" s="311"/>
      <c r="L36" s="311"/>
      <c r="M36" s="311"/>
      <c r="N36" s="311"/>
      <c r="O36" s="311"/>
      <c r="P36" s="311"/>
      <c r="Q36" s="311"/>
      <c r="R36" s="311"/>
      <c r="S36" s="311"/>
      <c r="T36" s="311"/>
      <c r="U36" s="311"/>
      <c r="V36" s="311"/>
      <c r="W36" s="311"/>
      <c r="X36" s="311"/>
      <c r="Y36" s="311"/>
      <c r="Z36" s="311"/>
      <c r="AA36" s="311"/>
      <c r="AB36" s="311"/>
      <c r="AC36" s="311"/>
      <c r="AD36" s="311"/>
      <c r="AE36" s="311"/>
      <c r="AF36" s="311"/>
      <c r="AG36" s="311"/>
      <c r="AH36" s="311"/>
      <c r="AI36" s="313"/>
      <c r="AJ36" s="313"/>
      <c r="AK36" s="313"/>
      <c r="AL36" s="313"/>
      <c r="AM36" s="313"/>
      <c r="AN36" s="313"/>
      <c r="AO36" s="313"/>
      <c r="AP36" s="313"/>
      <c r="AQ36" s="313"/>
      <c r="AR36" s="313"/>
      <c r="AS36" s="313"/>
    </row>
    <row r="37" spans="1:45">
      <c r="A37" s="312" t="s">
        <v>110</v>
      </c>
      <c r="B37" s="312" t="s">
        <v>342</v>
      </c>
      <c r="C37" s="312"/>
      <c r="D37" s="528">
        <v>2596</v>
      </c>
      <c r="E37" s="528">
        <v>2596</v>
      </c>
      <c r="F37" s="313"/>
      <c r="G37" s="311"/>
      <c r="H37" s="311"/>
      <c r="I37" s="311"/>
      <c r="J37" s="311"/>
      <c r="K37" s="311"/>
      <c r="L37" s="311"/>
      <c r="M37" s="311"/>
      <c r="N37" s="311"/>
      <c r="O37" s="311"/>
      <c r="P37" s="311"/>
      <c r="Q37" s="311"/>
      <c r="R37" s="311"/>
      <c r="S37" s="311"/>
      <c r="T37" s="311"/>
      <c r="U37" s="311"/>
      <c r="V37" s="311"/>
      <c r="W37" s="311"/>
      <c r="X37" s="311"/>
      <c r="Y37" s="311"/>
      <c r="Z37" s="311"/>
      <c r="AA37" s="311"/>
      <c r="AB37" s="311"/>
      <c r="AC37" s="311"/>
      <c r="AD37" s="311"/>
      <c r="AE37" s="311"/>
      <c r="AF37" s="311"/>
      <c r="AG37" s="311"/>
      <c r="AH37" s="311"/>
      <c r="AI37" s="313"/>
      <c r="AJ37" s="313"/>
      <c r="AK37" s="313"/>
      <c r="AL37" s="313"/>
      <c r="AM37" s="313"/>
      <c r="AN37" s="313"/>
      <c r="AO37" s="313"/>
      <c r="AP37" s="313"/>
      <c r="AQ37" s="313"/>
      <c r="AR37" s="313"/>
      <c r="AS37" s="313"/>
    </row>
    <row r="38" spans="1:45">
      <c r="A38" s="330" t="s">
        <v>110</v>
      </c>
      <c r="B38" s="330" t="s">
        <v>343</v>
      </c>
      <c r="C38" s="330"/>
      <c r="D38" s="516">
        <v>2599</v>
      </c>
      <c r="E38" s="516">
        <v>2599</v>
      </c>
      <c r="F38" s="313"/>
      <c r="G38" s="311"/>
      <c r="H38" s="311"/>
      <c r="I38" s="311"/>
      <c r="J38" s="311"/>
      <c r="K38" s="311"/>
      <c r="L38" s="311"/>
      <c r="M38" s="311"/>
      <c r="N38" s="311"/>
      <c r="O38" s="311"/>
      <c r="P38" s="311"/>
      <c r="Q38" s="311"/>
      <c r="R38" s="311"/>
      <c r="S38" s="311"/>
      <c r="T38" s="311"/>
      <c r="U38" s="311"/>
      <c r="V38" s="311"/>
      <c r="W38" s="311"/>
      <c r="X38" s="311"/>
      <c r="Y38" s="311"/>
      <c r="Z38" s="311"/>
      <c r="AA38" s="311"/>
      <c r="AB38" s="311"/>
      <c r="AC38" s="311"/>
      <c r="AD38" s="311"/>
      <c r="AE38" s="311"/>
      <c r="AF38" s="311"/>
      <c r="AG38" s="311"/>
      <c r="AH38" s="311"/>
      <c r="AI38" s="313"/>
      <c r="AJ38" s="313"/>
      <c r="AK38" s="313"/>
      <c r="AL38" s="313"/>
      <c r="AM38" s="313"/>
      <c r="AN38" s="313"/>
      <c r="AO38" s="313"/>
      <c r="AP38" s="313"/>
      <c r="AQ38" s="313"/>
      <c r="AR38" s="313"/>
      <c r="AS38" s="313"/>
    </row>
    <row r="39" spans="1:45">
      <c r="A39" s="313"/>
      <c r="B39" s="313"/>
      <c r="C39" s="313"/>
      <c r="D39" s="313"/>
      <c r="E39" s="313"/>
      <c r="F39" s="313"/>
      <c r="G39" s="311"/>
      <c r="H39" s="311"/>
      <c r="I39" s="311"/>
      <c r="J39" s="311"/>
      <c r="K39" s="311"/>
      <c r="L39" s="311"/>
      <c r="M39" s="311"/>
      <c r="N39" s="311"/>
      <c r="O39" s="311"/>
      <c r="P39" s="311"/>
      <c r="Q39" s="311"/>
      <c r="R39" s="311"/>
      <c r="S39" s="311"/>
      <c r="T39" s="311"/>
      <c r="U39" s="311"/>
      <c r="V39" s="311"/>
      <c r="W39" s="311"/>
      <c r="X39" s="311"/>
      <c r="Y39" s="311"/>
      <c r="Z39" s="311"/>
      <c r="AA39" s="311"/>
      <c r="AB39" s="311"/>
      <c r="AC39" s="311"/>
      <c r="AD39" s="311"/>
      <c r="AE39" s="311"/>
      <c r="AF39" s="311"/>
      <c r="AG39" s="311"/>
      <c r="AH39" s="311"/>
      <c r="AI39" s="313"/>
      <c r="AJ39" s="313"/>
      <c r="AK39" s="313"/>
      <c r="AL39" s="313"/>
      <c r="AM39" s="313"/>
      <c r="AN39" s="313"/>
      <c r="AO39" s="313"/>
      <c r="AP39" s="313"/>
      <c r="AQ39" s="313"/>
      <c r="AR39" s="313"/>
      <c r="AS39" s="313"/>
    </row>
    <row r="40" spans="1:45">
      <c r="A40" s="313"/>
      <c r="B40" s="313"/>
      <c r="C40" s="313"/>
      <c r="D40" s="313"/>
      <c r="E40" s="313"/>
      <c r="F40" s="313"/>
      <c r="G40" s="313"/>
      <c r="H40" s="313"/>
      <c r="I40" s="313"/>
      <c r="J40" s="313"/>
      <c r="K40" s="313"/>
      <c r="L40" s="313"/>
      <c r="M40" s="311"/>
      <c r="N40" s="311"/>
      <c r="O40" s="311"/>
      <c r="P40" s="311"/>
      <c r="Q40" s="311"/>
      <c r="R40" s="311"/>
      <c r="S40" s="311"/>
      <c r="T40" s="311"/>
      <c r="U40" s="311"/>
      <c r="V40" s="311"/>
      <c r="W40" s="311"/>
      <c r="X40" s="311"/>
      <c r="Y40" s="311"/>
      <c r="Z40" s="311"/>
      <c r="AA40" s="311"/>
      <c r="AB40" s="311"/>
      <c r="AC40" s="311"/>
      <c r="AD40" s="311"/>
      <c r="AE40" s="311"/>
      <c r="AF40" s="311"/>
      <c r="AG40" s="311"/>
      <c r="AH40" s="311"/>
      <c r="AI40" s="311"/>
      <c r="AJ40" s="311"/>
      <c r="AK40" s="311"/>
      <c r="AL40" s="311"/>
      <c r="AM40" s="311"/>
      <c r="AN40" s="311"/>
      <c r="AO40" s="313"/>
      <c r="AP40" s="313"/>
      <c r="AQ40" s="313"/>
      <c r="AR40" s="313"/>
      <c r="AS40" s="313"/>
    </row>
    <row r="49" spans="1:6">
      <c r="A49" s="547" t="s">
        <v>322</v>
      </c>
      <c r="B49" s="548"/>
      <c r="C49" s="548"/>
      <c r="D49" s="549"/>
    </row>
    <row r="50" spans="1:6">
      <c r="A50" s="294" t="s">
        <v>323</v>
      </c>
      <c r="B50" s="294"/>
      <c r="C50" s="294"/>
      <c r="D50" s="296">
        <v>87.86</v>
      </c>
    </row>
    <row r="51" spans="1:6">
      <c r="A51" s="297" t="s">
        <v>324</v>
      </c>
      <c r="B51" s="297"/>
      <c r="C51" s="298"/>
      <c r="D51" s="310">
        <f>D38</f>
        <v>2599</v>
      </c>
    </row>
    <row r="52" spans="1:6">
      <c r="A52" s="301" t="s">
        <v>326</v>
      </c>
      <c r="B52" s="302"/>
      <c r="C52" s="302"/>
      <c r="D52" s="303">
        <f>D50*D51</f>
        <v>228348.13999999998</v>
      </c>
    </row>
    <row r="53" spans="1:6">
      <c r="A53" s="294" t="s">
        <v>327</v>
      </c>
      <c r="B53" s="294"/>
      <c r="C53" s="294"/>
      <c r="D53" s="304">
        <v>11863</v>
      </c>
    </row>
    <row r="54" spans="1:6">
      <c r="A54" s="294" t="s">
        <v>328</v>
      </c>
      <c r="B54" s="294"/>
      <c r="C54" s="294"/>
      <c r="D54" s="304">
        <v>51697</v>
      </c>
    </row>
    <row r="55" spans="1:6">
      <c r="A55" s="294" t="s">
        <v>329</v>
      </c>
      <c r="B55" s="294"/>
      <c r="C55" s="294"/>
      <c r="D55" s="295"/>
    </row>
    <row r="56" spans="1:6">
      <c r="A56" s="294" t="s">
        <v>330</v>
      </c>
      <c r="B56" s="294"/>
      <c r="C56" s="294"/>
      <c r="D56" s="295"/>
    </row>
    <row r="57" spans="1:6">
      <c r="A57" s="294" t="s">
        <v>331</v>
      </c>
      <c r="B57" s="294"/>
      <c r="C57" s="294"/>
      <c r="D57" s="295"/>
    </row>
    <row r="58" spans="1:6">
      <c r="A58" s="294" t="s">
        <v>332</v>
      </c>
      <c r="B58" s="294"/>
      <c r="C58" s="294"/>
      <c r="D58" s="295">
        <v>776</v>
      </c>
      <c r="F58" s="187"/>
    </row>
    <row r="59" spans="1:6">
      <c r="A59" s="294" t="s">
        <v>333</v>
      </c>
      <c r="B59" s="294"/>
      <c r="C59" s="294"/>
      <c r="D59" s="304">
        <v>-5556</v>
      </c>
    </row>
    <row r="60" spans="1:6">
      <c r="A60" s="301" t="s">
        <v>296</v>
      </c>
      <c r="B60" s="305"/>
      <c r="C60" s="305"/>
      <c r="D60" s="306">
        <f>SUM(D52:D59)</f>
        <v>287128.14</v>
      </c>
    </row>
  </sheetData>
  <mergeCells count="1">
    <mergeCell ref="A49:D49"/>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39AEF-2D37-4070-8A5E-1206BEA2F87A}">
  <dimension ref="A1:R63"/>
  <sheetViews>
    <sheetView workbookViewId="0">
      <selection activeCell="R5" sqref="R5"/>
    </sheetView>
  </sheetViews>
  <sheetFormatPr baseColWidth="10" defaultColWidth="8.83203125" defaultRowHeight="15"/>
  <cols>
    <col min="4" max="4" width="12.33203125" customWidth="1"/>
    <col min="6" max="6" width="9.6640625" customWidth="1"/>
    <col min="17" max="17" width="9.6640625" bestFit="1" customWidth="1"/>
  </cols>
  <sheetData>
    <row r="1" spans="1:18">
      <c r="A1" s="314" t="s">
        <v>349</v>
      </c>
      <c r="B1" s="315"/>
      <c r="C1" s="315"/>
      <c r="D1" s="315"/>
      <c r="E1" s="314" t="s">
        <v>110</v>
      </c>
      <c r="N1" s="314" t="s">
        <v>334</v>
      </c>
      <c r="O1" s="315"/>
      <c r="P1" s="315"/>
      <c r="Q1" s="314" t="s">
        <v>110</v>
      </c>
      <c r="R1" s="314" t="s">
        <v>110</v>
      </c>
    </row>
    <row r="2" spans="1:18">
      <c r="A2" s="316" t="s">
        <v>110</v>
      </c>
      <c r="B2" s="316" t="s">
        <v>110</v>
      </c>
      <c r="C2" s="316" t="s">
        <v>110</v>
      </c>
      <c r="D2" s="335" t="s">
        <v>52</v>
      </c>
      <c r="E2" s="318" t="s">
        <v>2</v>
      </c>
      <c r="N2" s="316" t="s">
        <v>110</v>
      </c>
      <c r="O2" s="316" t="s">
        <v>110</v>
      </c>
      <c r="P2" s="316" t="s">
        <v>110</v>
      </c>
      <c r="Q2" s="335" t="s">
        <v>52</v>
      </c>
      <c r="R2" s="318" t="s">
        <v>2</v>
      </c>
    </row>
    <row r="3" spans="1:18">
      <c r="A3" s="316" t="s">
        <v>110</v>
      </c>
      <c r="B3" s="316" t="s">
        <v>110</v>
      </c>
      <c r="C3" s="316" t="s">
        <v>110</v>
      </c>
      <c r="D3" s="315" t="s">
        <v>110</v>
      </c>
      <c r="E3" s="315" t="s">
        <v>110</v>
      </c>
      <c r="N3" s="316" t="s">
        <v>110</v>
      </c>
      <c r="O3" s="316" t="s">
        <v>110</v>
      </c>
      <c r="P3" s="316" t="s">
        <v>110</v>
      </c>
      <c r="Q3" s="315" t="s">
        <v>110</v>
      </c>
      <c r="R3" s="315" t="s">
        <v>110</v>
      </c>
    </row>
    <row r="4" spans="1:18">
      <c r="A4" s="335" t="s">
        <v>110</v>
      </c>
      <c r="B4" s="336" t="s">
        <v>110</v>
      </c>
      <c r="C4" s="337" t="s">
        <v>110</v>
      </c>
      <c r="D4" s="337" t="s">
        <v>6</v>
      </c>
      <c r="E4" s="337" t="s">
        <v>7</v>
      </c>
      <c r="N4" s="335" t="s">
        <v>350</v>
      </c>
      <c r="O4" s="336" t="s">
        <v>110</v>
      </c>
      <c r="P4" s="337" t="s">
        <v>110</v>
      </c>
      <c r="Q4" s="337" t="s">
        <v>6</v>
      </c>
      <c r="R4" s="337" t="s">
        <v>7</v>
      </c>
    </row>
    <row r="5" spans="1:18">
      <c r="A5" s="321" t="s">
        <v>106</v>
      </c>
      <c r="B5" s="312" t="s">
        <v>110</v>
      </c>
      <c r="C5" s="322" t="s">
        <v>110</v>
      </c>
      <c r="D5" s="338">
        <v>15251</v>
      </c>
      <c r="E5" s="339">
        <v>17874.2</v>
      </c>
      <c r="N5" s="321" t="s">
        <v>106</v>
      </c>
      <c r="O5" s="312" t="s">
        <v>110</v>
      </c>
      <c r="P5" s="322" t="s">
        <v>110</v>
      </c>
      <c r="Q5" s="338">
        <v>15351</v>
      </c>
      <c r="R5" s="339">
        <f>Q5*(1+R6)</f>
        <v>16158.462599999999</v>
      </c>
    </row>
    <row r="6" spans="1:18" ht="39">
      <c r="A6" s="312" t="s">
        <v>110</v>
      </c>
      <c r="B6" s="312" t="s">
        <v>110</v>
      </c>
      <c r="C6" s="323" t="s">
        <v>307</v>
      </c>
      <c r="D6" s="323" t="s">
        <v>110</v>
      </c>
      <c r="E6" s="340">
        <v>0.17199999999999999</v>
      </c>
      <c r="N6" s="312" t="s">
        <v>110</v>
      </c>
      <c r="O6" s="312" t="s">
        <v>110</v>
      </c>
      <c r="P6" s="323" t="s">
        <v>307</v>
      </c>
      <c r="Q6" s="323" t="s">
        <v>110</v>
      </c>
      <c r="R6" s="340">
        <v>5.2600000000000001E-2</v>
      </c>
    </row>
    <row r="7" spans="1:18">
      <c r="A7" s="321" t="s">
        <v>110</v>
      </c>
      <c r="B7" s="312" t="s">
        <v>110</v>
      </c>
      <c r="C7" s="323" t="s">
        <v>110</v>
      </c>
      <c r="D7" s="323" t="s">
        <v>110</v>
      </c>
      <c r="E7" s="323" t="s">
        <v>110</v>
      </c>
      <c r="N7" s="321" t="s">
        <v>110</v>
      </c>
      <c r="O7" s="312" t="s">
        <v>110</v>
      </c>
      <c r="P7" s="323" t="s">
        <v>110</v>
      </c>
      <c r="Q7" s="323" t="s">
        <v>110</v>
      </c>
      <c r="R7" s="323" t="s">
        <v>110</v>
      </c>
    </row>
    <row r="8" spans="1:18">
      <c r="A8" s="321" t="s">
        <v>308</v>
      </c>
      <c r="B8" s="321"/>
      <c r="C8" s="324" t="s">
        <v>110</v>
      </c>
      <c r="D8" s="342">
        <v>6822</v>
      </c>
      <c r="E8" s="343">
        <v>7995.4</v>
      </c>
      <c r="N8" s="321" t="s">
        <v>308</v>
      </c>
      <c r="O8" s="321"/>
      <c r="P8" s="324" t="s">
        <v>110</v>
      </c>
      <c r="Q8" s="342">
        <f>6822-Q16</f>
        <v>6267</v>
      </c>
      <c r="R8" s="343">
        <f>R5*R9</f>
        <v>6919.8134520000003</v>
      </c>
    </row>
    <row r="9" spans="1:18">
      <c r="A9" s="312" t="s">
        <v>110</v>
      </c>
      <c r="B9" s="325" t="s">
        <v>309</v>
      </c>
      <c r="C9" s="325"/>
      <c r="D9" s="344">
        <v>0.45</v>
      </c>
      <c r="E9" s="344">
        <v>0.45</v>
      </c>
      <c r="N9" s="312" t="s">
        <v>110</v>
      </c>
      <c r="O9" s="325" t="s">
        <v>309</v>
      </c>
      <c r="P9" s="325"/>
      <c r="Q9" s="344">
        <f>Q8/Q5</f>
        <v>0.40824701973812783</v>
      </c>
      <c r="R9" s="344">
        <f>Q9+2%</f>
        <v>0.42824701973812784</v>
      </c>
    </row>
    <row r="10" spans="1:18">
      <c r="A10" s="321" t="s">
        <v>310</v>
      </c>
      <c r="B10" s="321"/>
      <c r="C10" s="322" t="s">
        <v>110</v>
      </c>
      <c r="D10" s="339">
        <v>8429</v>
      </c>
      <c r="E10" s="339">
        <v>9878.7999999999993</v>
      </c>
      <c r="N10" s="321" t="s">
        <v>310</v>
      </c>
      <c r="O10" s="321"/>
      <c r="P10" s="322" t="s">
        <v>110</v>
      </c>
      <c r="Q10" s="339">
        <f>Q5-Q8</f>
        <v>9084</v>
      </c>
      <c r="R10" s="339">
        <f>R5-R8</f>
        <v>9238.6491479999986</v>
      </c>
    </row>
    <row r="11" spans="1:18">
      <c r="A11" s="312" t="s">
        <v>110</v>
      </c>
      <c r="B11" s="325" t="s">
        <v>311</v>
      </c>
      <c r="C11" s="325"/>
      <c r="D11" s="345">
        <v>0.55000000000000004</v>
      </c>
      <c r="E11" s="345">
        <v>0.55000000000000004</v>
      </c>
      <c r="N11" s="312" t="s">
        <v>110</v>
      </c>
      <c r="O11" s="325" t="s">
        <v>311</v>
      </c>
      <c r="P11" s="325"/>
      <c r="Q11" s="345">
        <f>Q10/Q5</f>
        <v>0.59175298026187217</v>
      </c>
      <c r="R11" s="345">
        <v>0.55000000000000004</v>
      </c>
    </row>
    <row r="12" spans="1:18">
      <c r="A12" s="321" t="s">
        <v>154</v>
      </c>
      <c r="B12" s="321"/>
      <c r="C12" s="312" t="s">
        <v>110</v>
      </c>
      <c r="D12" s="347">
        <v>2591</v>
      </c>
      <c r="E12" s="343">
        <v>3036.7</v>
      </c>
      <c r="N12" s="321" t="s">
        <v>154</v>
      </c>
      <c r="O12" s="321"/>
      <c r="P12" s="312" t="s">
        <v>110</v>
      </c>
      <c r="Q12" s="347">
        <f>5013+306+412+207</f>
        <v>5938</v>
      </c>
      <c r="R12" s="343">
        <f>R5*R13</f>
        <v>6250.3387999999995</v>
      </c>
    </row>
    <row r="13" spans="1:18">
      <c r="A13" s="312" t="s">
        <v>110</v>
      </c>
      <c r="B13" s="325" t="s">
        <v>312</v>
      </c>
      <c r="C13" s="325"/>
      <c r="D13" s="345">
        <v>0.17</v>
      </c>
      <c r="E13" s="345">
        <v>0.17</v>
      </c>
      <c r="N13" s="312" t="s">
        <v>110</v>
      </c>
      <c r="O13" s="325" t="s">
        <v>312</v>
      </c>
      <c r="P13" s="325"/>
      <c r="Q13" s="345">
        <f>Q12/Q5</f>
        <v>0.38681519119275615</v>
      </c>
      <c r="R13" s="345">
        <f>Q13</f>
        <v>0.38681519119275615</v>
      </c>
    </row>
    <row r="14" spans="1:18">
      <c r="A14" s="321" t="s">
        <v>121</v>
      </c>
      <c r="B14" s="321" t="s">
        <v>110</v>
      </c>
      <c r="C14" s="322" t="s">
        <v>110</v>
      </c>
      <c r="D14" s="339">
        <v>5838</v>
      </c>
      <c r="E14" s="339">
        <v>6842.1</v>
      </c>
      <c r="N14" s="321" t="s">
        <v>121</v>
      </c>
      <c r="O14" s="321" t="s">
        <v>110</v>
      </c>
      <c r="P14" s="322" t="s">
        <v>110</v>
      </c>
      <c r="Q14" s="339">
        <f>Q10-Q12</f>
        <v>3146</v>
      </c>
      <c r="R14" s="339">
        <f>R10-R12</f>
        <v>2988.3103479999991</v>
      </c>
    </row>
    <row r="15" spans="1:18">
      <c r="A15" s="312" t="s">
        <v>56</v>
      </c>
      <c r="B15" s="312"/>
      <c r="C15" s="312"/>
      <c r="D15" s="341">
        <v>133</v>
      </c>
      <c r="E15" s="324">
        <v>155.9</v>
      </c>
      <c r="N15" s="312" t="s">
        <v>110</v>
      </c>
      <c r="O15" s="325" t="s">
        <v>313</v>
      </c>
      <c r="P15" s="325"/>
      <c r="Q15" s="345">
        <f>Q14/Q5</f>
        <v>0.20493778906911603</v>
      </c>
      <c r="R15" s="345">
        <f>R14/R5</f>
        <v>0.18493778906911598</v>
      </c>
    </row>
    <row r="16" spans="1:18">
      <c r="A16" s="312" t="s">
        <v>110</v>
      </c>
      <c r="B16" s="325" t="s">
        <v>314</v>
      </c>
      <c r="C16" s="325"/>
      <c r="D16" s="344">
        <v>0.01</v>
      </c>
      <c r="E16" s="344">
        <v>0.01</v>
      </c>
      <c r="N16" s="312" t="s">
        <v>56</v>
      </c>
      <c r="O16" s="312"/>
      <c r="P16" s="312"/>
      <c r="Q16" s="342">
        <f>422+133</f>
        <v>555</v>
      </c>
      <c r="R16" s="343">
        <f>R5*R17</f>
        <v>584.19299999999998</v>
      </c>
    </row>
    <row r="17" spans="1:18">
      <c r="A17" s="321" t="s">
        <v>123</v>
      </c>
      <c r="B17" s="321" t="s">
        <v>110</v>
      </c>
      <c r="C17" s="322" t="s">
        <v>110</v>
      </c>
      <c r="D17" s="339">
        <v>5705</v>
      </c>
      <c r="E17" s="339">
        <v>6686.3</v>
      </c>
      <c r="N17" s="312" t="s">
        <v>110</v>
      </c>
      <c r="O17" s="325" t="s">
        <v>314</v>
      </c>
      <c r="P17" s="325"/>
      <c r="Q17" s="344">
        <f>Q16/Q5</f>
        <v>3.6153996482313856E-2</v>
      </c>
      <c r="R17" s="344">
        <f>Q17</f>
        <v>3.6153996482313856E-2</v>
      </c>
    </row>
    <row r="18" spans="1:18">
      <c r="A18" s="312" t="s">
        <v>110</v>
      </c>
      <c r="B18" s="325" t="s">
        <v>124</v>
      </c>
      <c r="C18" s="325"/>
      <c r="D18" s="344">
        <v>0.37</v>
      </c>
      <c r="E18" s="344">
        <v>0.37</v>
      </c>
      <c r="N18" s="321" t="s">
        <v>123</v>
      </c>
      <c r="O18" s="321" t="s">
        <v>110</v>
      </c>
      <c r="P18" s="322" t="s">
        <v>110</v>
      </c>
      <c r="Q18" s="339">
        <f>Q14-Q16</f>
        <v>2591</v>
      </c>
      <c r="R18" s="339">
        <f>R14-R16</f>
        <v>2404.1173479999989</v>
      </c>
    </row>
    <row r="19" spans="1:18">
      <c r="A19" s="321" t="s">
        <v>335</v>
      </c>
      <c r="B19" s="321"/>
      <c r="C19" s="324" t="s">
        <v>110</v>
      </c>
      <c r="D19" s="346">
        <v>0</v>
      </c>
      <c r="E19" s="324">
        <v>0</v>
      </c>
      <c r="N19" s="312" t="s">
        <v>110</v>
      </c>
      <c r="O19" s="325" t="s">
        <v>124</v>
      </c>
      <c r="P19" s="325"/>
      <c r="Q19" s="344">
        <f>Q18/Q5</f>
        <v>0.16878379258680215</v>
      </c>
      <c r="R19" s="344">
        <f>R18/R5</f>
        <v>0.1487837925868021</v>
      </c>
    </row>
    <row r="20" spans="1:18">
      <c r="A20" s="321" t="s">
        <v>127</v>
      </c>
      <c r="B20" s="312" t="s">
        <v>110</v>
      </c>
      <c r="C20" s="325" t="s">
        <v>110</v>
      </c>
      <c r="D20" s="323" t="s">
        <v>110</v>
      </c>
      <c r="E20" s="323" t="s">
        <v>110</v>
      </c>
      <c r="N20" s="321" t="s">
        <v>335</v>
      </c>
      <c r="O20" s="321"/>
      <c r="P20" s="324" t="s">
        <v>110</v>
      </c>
      <c r="Q20" s="346">
        <f>-60+2</f>
        <v>-58</v>
      </c>
      <c r="R20" s="324">
        <f>Q20</f>
        <v>-58</v>
      </c>
    </row>
    <row r="21" spans="1:18">
      <c r="A21" s="312" t="s">
        <v>110</v>
      </c>
      <c r="B21" s="312" t="s">
        <v>128</v>
      </c>
      <c r="C21" s="312"/>
      <c r="D21" s="346" t="s">
        <v>110</v>
      </c>
      <c r="E21" s="324">
        <v>0</v>
      </c>
      <c r="N21" s="321" t="s">
        <v>127</v>
      </c>
      <c r="O21" s="312" t="s">
        <v>110</v>
      </c>
      <c r="P21" s="325" t="s">
        <v>110</v>
      </c>
      <c r="Q21" s="323" t="s">
        <v>110</v>
      </c>
      <c r="R21" s="323" t="s">
        <v>110</v>
      </c>
    </row>
    <row r="22" spans="1:18">
      <c r="A22" s="312" t="s">
        <v>110</v>
      </c>
      <c r="B22" s="312" t="s">
        <v>206</v>
      </c>
      <c r="C22" s="312"/>
      <c r="D22" s="348" t="s">
        <v>110</v>
      </c>
      <c r="E22" s="349">
        <v>0</v>
      </c>
      <c r="N22" s="312" t="s">
        <v>110</v>
      </c>
      <c r="O22" s="312" t="s">
        <v>128</v>
      </c>
      <c r="P22" s="312"/>
      <c r="Q22" s="513">
        <v>735</v>
      </c>
      <c r="R22" s="513">
        <f>Q22</f>
        <v>735</v>
      </c>
    </row>
    <row r="23" spans="1:18">
      <c r="A23" s="312" t="s">
        <v>110</v>
      </c>
      <c r="B23" s="321" t="s">
        <v>317</v>
      </c>
      <c r="C23" s="321"/>
      <c r="D23" s="350">
        <v>0</v>
      </c>
      <c r="E23" s="350">
        <v>0</v>
      </c>
      <c r="N23" s="312" t="s">
        <v>110</v>
      </c>
      <c r="O23" s="312" t="s">
        <v>206</v>
      </c>
      <c r="P23" s="312"/>
      <c r="Q23" s="348">
        <v>0</v>
      </c>
      <c r="R23" s="349">
        <v>0</v>
      </c>
    </row>
    <row r="24" spans="1:18">
      <c r="A24" s="321" t="s">
        <v>318</v>
      </c>
      <c r="B24" s="321"/>
      <c r="C24" s="321"/>
      <c r="D24" s="339">
        <v>5705</v>
      </c>
      <c r="E24" s="339">
        <v>6686.3</v>
      </c>
      <c r="N24" s="312" t="s">
        <v>110</v>
      </c>
      <c r="O24" s="321" t="s">
        <v>317</v>
      </c>
      <c r="P24" s="321"/>
      <c r="Q24" s="442">
        <f>Q22+Q23</f>
        <v>735</v>
      </c>
      <c r="R24" s="442">
        <f>R22+R23</f>
        <v>735</v>
      </c>
    </row>
    <row r="25" spans="1:18">
      <c r="A25" s="312" t="s">
        <v>110</v>
      </c>
      <c r="B25" s="325" t="s">
        <v>319</v>
      </c>
      <c r="C25" s="325"/>
      <c r="D25" s="345">
        <v>0.37</v>
      </c>
      <c r="E25" s="345">
        <v>0.37</v>
      </c>
      <c r="N25" s="321" t="s">
        <v>318</v>
      </c>
      <c r="O25" s="321"/>
      <c r="P25" s="321"/>
      <c r="Q25" s="339">
        <f>Q18-Q20-Q24</f>
        <v>1914</v>
      </c>
      <c r="R25" s="339">
        <f>R18-R20-R24</f>
        <v>1727.1173479999989</v>
      </c>
    </row>
    <row r="26" spans="1:18">
      <c r="A26" s="312" t="s">
        <v>320</v>
      </c>
      <c r="B26" s="312"/>
      <c r="C26" s="312" t="s">
        <v>110</v>
      </c>
      <c r="D26" s="343">
        <v>1163.8</v>
      </c>
      <c r="E26" s="343">
        <v>1364</v>
      </c>
      <c r="N26" s="312" t="s">
        <v>110</v>
      </c>
      <c r="O26" s="325" t="s">
        <v>319</v>
      </c>
      <c r="P26" s="325"/>
      <c r="Q26" s="345">
        <f>Q25/Q5</f>
        <v>0.12468243111197967</v>
      </c>
      <c r="R26" s="345">
        <f>R25/R5</f>
        <v>0.10688624225921091</v>
      </c>
    </row>
    <row r="27" spans="1:18">
      <c r="A27" s="312" t="s">
        <v>110</v>
      </c>
      <c r="B27" s="325" t="s">
        <v>321</v>
      </c>
      <c r="C27" s="325"/>
      <c r="D27" s="351">
        <v>0.2</v>
      </c>
      <c r="E27" s="344">
        <v>0.2</v>
      </c>
      <c r="N27" s="312" t="s">
        <v>320</v>
      </c>
      <c r="O27" s="312"/>
      <c r="P27" s="312" t="s">
        <v>110</v>
      </c>
      <c r="Q27" s="343">
        <v>473</v>
      </c>
      <c r="R27" s="343">
        <f>R28*R25</f>
        <v>426.81635611494227</v>
      </c>
    </row>
    <row r="28" spans="1:18">
      <c r="A28" s="321" t="s">
        <v>336</v>
      </c>
      <c r="B28" s="321"/>
      <c r="C28" s="321"/>
      <c r="D28" s="339">
        <v>4541.2</v>
      </c>
      <c r="E28" s="339">
        <v>5322.3</v>
      </c>
      <c r="N28" s="312" t="s">
        <v>110</v>
      </c>
      <c r="O28" s="325" t="s">
        <v>321</v>
      </c>
      <c r="P28" s="325"/>
      <c r="Q28" s="351">
        <f>Q27/Q25</f>
        <v>0.2471264367816092</v>
      </c>
      <c r="R28" s="351">
        <f>Q28</f>
        <v>0.2471264367816092</v>
      </c>
    </row>
    <row r="29" spans="1:18">
      <c r="A29" s="312" t="s">
        <v>110</v>
      </c>
      <c r="B29" s="312" t="s">
        <v>337</v>
      </c>
      <c r="C29" s="312"/>
      <c r="D29" s="341">
        <v>0</v>
      </c>
      <c r="E29" s="341">
        <v>0</v>
      </c>
      <c r="N29" s="321" t="s">
        <v>336</v>
      </c>
      <c r="O29" s="321"/>
      <c r="P29" s="321"/>
      <c r="Q29" s="339">
        <f>Q25-Q27</f>
        <v>1441</v>
      </c>
      <c r="R29" s="339">
        <f>R25-R27</f>
        <v>1300.3009918850566</v>
      </c>
    </row>
    <row r="30" spans="1:18">
      <c r="A30" s="312" t="s">
        <v>110</v>
      </c>
      <c r="B30" s="312" t="s">
        <v>338</v>
      </c>
      <c r="C30" s="312"/>
      <c r="D30" s="341">
        <v>0</v>
      </c>
      <c r="E30" s="341">
        <v>0</v>
      </c>
      <c r="N30" s="312" t="s">
        <v>110</v>
      </c>
      <c r="O30" s="312" t="s">
        <v>337</v>
      </c>
      <c r="P30" s="312"/>
      <c r="Q30" s="341">
        <v>0</v>
      </c>
      <c r="R30" s="341">
        <v>0</v>
      </c>
    </row>
    <row r="31" spans="1:18">
      <c r="A31" s="312" t="s">
        <v>110</v>
      </c>
      <c r="B31" s="312" t="s">
        <v>339</v>
      </c>
      <c r="C31" s="312"/>
      <c r="D31" s="341">
        <v>0</v>
      </c>
      <c r="E31" s="341">
        <v>0</v>
      </c>
      <c r="N31" s="312" t="s">
        <v>110</v>
      </c>
      <c r="O31" s="312" t="s">
        <v>338</v>
      </c>
      <c r="P31" s="312"/>
      <c r="Q31" s="341">
        <v>0</v>
      </c>
      <c r="R31" s="341">
        <v>0</v>
      </c>
    </row>
    <row r="32" spans="1:18">
      <c r="A32" s="312" t="s">
        <v>110</v>
      </c>
      <c r="B32" s="312" t="s">
        <v>214</v>
      </c>
      <c r="C32" s="312" t="s">
        <v>110</v>
      </c>
      <c r="D32" s="341">
        <v>0</v>
      </c>
      <c r="E32" s="341">
        <v>0</v>
      </c>
      <c r="N32" s="312" t="s">
        <v>110</v>
      </c>
      <c r="O32" s="312" t="s">
        <v>339</v>
      </c>
      <c r="P32" s="312"/>
      <c r="Q32" s="341">
        <v>0</v>
      </c>
      <c r="R32" s="341">
        <v>0</v>
      </c>
    </row>
    <row r="33" spans="1:18">
      <c r="A33" s="321" t="s">
        <v>340</v>
      </c>
      <c r="B33" s="321"/>
      <c r="C33" s="321"/>
      <c r="D33" s="339">
        <v>4541.2</v>
      </c>
      <c r="E33" s="339">
        <v>5322.3</v>
      </c>
      <c r="N33" s="312" t="s">
        <v>110</v>
      </c>
      <c r="O33" s="312" t="s">
        <v>214</v>
      </c>
      <c r="P33" s="312" t="s">
        <v>110</v>
      </c>
      <c r="Q33" s="341">
        <v>0</v>
      </c>
      <c r="R33" s="341">
        <f>Q33</f>
        <v>0</v>
      </c>
    </row>
    <row r="34" spans="1:18">
      <c r="A34" s="321" t="s">
        <v>341</v>
      </c>
      <c r="B34" s="321"/>
      <c r="C34" s="321"/>
      <c r="D34" s="312" t="s">
        <v>110</v>
      </c>
      <c r="E34" s="312" t="s">
        <v>110</v>
      </c>
      <c r="N34" s="321" t="s">
        <v>340</v>
      </c>
      <c r="O34" s="321"/>
      <c r="P34" s="321"/>
      <c r="Q34" s="339">
        <f>Q29-SUM(Q30:Q33)</f>
        <v>1441</v>
      </c>
      <c r="R34" s="339">
        <f>R29-SUM(R30:R33)</f>
        <v>1300.3009918850566</v>
      </c>
    </row>
    <row r="35" spans="1:18">
      <c r="A35" s="312" t="s">
        <v>110</v>
      </c>
      <c r="B35" s="312" t="s">
        <v>342</v>
      </c>
      <c r="C35" s="312" t="s">
        <v>110</v>
      </c>
      <c r="D35" s="324">
        <v>1.06</v>
      </c>
      <c r="E35" s="324">
        <v>3.92</v>
      </c>
      <c r="N35" s="321" t="s">
        <v>341</v>
      </c>
      <c r="O35" s="321"/>
      <c r="P35" s="321"/>
      <c r="Q35" s="312" t="s">
        <v>110</v>
      </c>
      <c r="R35" s="312" t="s">
        <v>110</v>
      </c>
    </row>
    <row r="36" spans="1:18">
      <c r="A36" s="312" t="s">
        <v>110</v>
      </c>
      <c r="B36" s="312" t="s">
        <v>343</v>
      </c>
      <c r="C36" s="312" t="s">
        <v>110</v>
      </c>
      <c r="D36" s="324">
        <v>1.05</v>
      </c>
      <c r="E36" s="324">
        <v>3.92</v>
      </c>
      <c r="N36" s="312" t="s">
        <v>110</v>
      </c>
      <c r="O36" s="312" t="s">
        <v>342</v>
      </c>
      <c r="P36" s="312" t="s">
        <v>110</v>
      </c>
      <c r="Q36" s="524">
        <f>Q34/Q39</f>
        <v>1.0578475994714431</v>
      </c>
      <c r="R36" s="524">
        <f>R34/R39</f>
        <v>0.95455953008740024</v>
      </c>
    </row>
    <row r="37" spans="1:18">
      <c r="A37" s="321" t="s">
        <v>351</v>
      </c>
      <c r="B37" s="321"/>
      <c r="C37" s="321"/>
      <c r="D37" s="312" t="s">
        <v>110</v>
      </c>
      <c r="E37" s="312" t="s">
        <v>110</v>
      </c>
      <c r="N37" s="312" t="s">
        <v>110</v>
      </c>
      <c r="O37" s="312" t="s">
        <v>343</v>
      </c>
      <c r="P37" s="312" t="s">
        <v>110</v>
      </c>
      <c r="Q37" s="524">
        <f>Q34/Q40</f>
        <v>1.0531316231820507</v>
      </c>
      <c r="R37" s="524">
        <f>R34/R40</f>
        <v>0.95030402096401134</v>
      </c>
    </row>
    <row r="38" spans="1:18">
      <c r="A38" s="312" t="s">
        <v>110</v>
      </c>
      <c r="B38" s="312" t="s">
        <v>342</v>
      </c>
      <c r="C38" s="312" t="s">
        <v>110</v>
      </c>
      <c r="D38" s="324">
        <v>3.33</v>
      </c>
      <c r="E38" s="324">
        <v>3.92</v>
      </c>
      <c r="N38" s="321" t="s">
        <v>344</v>
      </c>
      <c r="O38" s="321"/>
      <c r="P38" s="321"/>
      <c r="Q38" s="322" t="s">
        <v>110</v>
      </c>
      <c r="R38" s="322" t="s">
        <v>110</v>
      </c>
    </row>
    <row r="39" spans="1:18">
      <c r="A39" s="312" t="s">
        <v>110</v>
      </c>
      <c r="B39" s="312" t="s">
        <v>343</v>
      </c>
      <c r="C39" s="312" t="s">
        <v>110</v>
      </c>
      <c r="D39" s="324">
        <v>3.32</v>
      </c>
      <c r="E39" s="324">
        <v>3.92</v>
      </c>
      <c r="N39" s="312" t="s">
        <v>110</v>
      </c>
      <c r="O39" s="312" t="s">
        <v>342</v>
      </c>
      <c r="P39" s="312" t="s">
        <v>110</v>
      </c>
      <c r="Q39" s="352">
        <v>1362.2</v>
      </c>
      <c r="R39" s="353">
        <f>Q39</f>
        <v>1362.2</v>
      </c>
    </row>
    <row r="40" spans="1:18">
      <c r="A40" s="321" t="s">
        <v>344</v>
      </c>
      <c r="B40" s="321"/>
      <c r="C40" s="321"/>
      <c r="D40" s="322" t="s">
        <v>110</v>
      </c>
      <c r="E40" s="322" t="s">
        <v>110</v>
      </c>
      <c r="N40" s="354" t="s">
        <v>110</v>
      </c>
      <c r="O40" s="354" t="s">
        <v>343</v>
      </c>
      <c r="P40" s="354" t="s">
        <v>110</v>
      </c>
      <c r="Q40" s="355">
        <v>1368.3</v>
      </c>
      <c r="R40" s="356">
        <f>Q40</f>
        <v>1368.3</v>
      </c>
    </row>
    <row r="41" spans="1:18">
      <c r="A41" s="312" t="s">
        <v>110</v>
      </c>
      <c r="B41" s="312" t="s">
        <v>342</v>
      </c>
      <c r="C41" s="312" t="s">
        <v>110</v>
      </c>
      <c r="D41" s="352">
        <v>1362</v>
      </c>
      <c r="E41" s="353">
        <v>1358</v>
      </c>
      <c r="N41" s="313"/>
      <c r="O41" s="313"/>
      <c r="P41" s="313"/>
      <c r="Q41" s="313"/>
      <c r="R41" s="313"/>
    </row>
    <row r="42" spans="1:18">
      <c r="A42" s="354" t="s">
        <v>110</v>
      </c>
      <c r="B42" s="354" t="s">
        <v>343</v>
      </c>
      <c r="C42" s="354" t="s">
        <v>110</v>
      </c>
      <c r="D42" s="355">
        <v>1368</v>
      </c>
      <c r="E42" s="356">
        <v>1358</v>
      </c>
    </row>
    <row r="43" spans="1:18">
      <c r="A43" s="313"/>
      <c r="B43" s="313"/>
      <c r="C43" s="313"/>
      <c r="D43" s="313"/>
      <c r="E43" s="313"/>
    </row>
    <row r="49" spans="1:18" ht="13.5" customHeight="1">
      <c r="N49" s="547" t="s">
        <v>322</v>
      </c>
      <c r="O49" s="548"/>
      <c r="P49" s="548"/>
      <c r="Q49" s="549"/>
    </row>
    <row r="50" spans="1:18">
      <c r="N50" s="294" t="s">
        <v>323</v>
      </c>
      <c r="O50" s="294"/>
      <c r="P50" s="294"/>
      <c r="Q50" s="296">
        <v>34.43</v>
      </c>
    </row>
    <row r="51" spans="1:18">
      <c r="N51" s="297" t="s">
        <v>324</v>
      </c>
      <c r="O51" s="297"/>
      <c r="P51" s="298"/>
      <c r="Q51" s="310">
        <f>Q40</f>
        <v>1368.3</v>
      </c>
      <c r="R51" t="s">
        <v>325</v>
      </c>
    </row>
    <row r="52" spans="1:18">
      <c r="A52" s="547" t="s">
        <v>322</v>
      </c>
      <c r="B52" s="548"/>
      <c r="C52" s="548"/>
      <c r="D52" s="549"/>
      <c r="N52" s="301" t="s">
        <v>326</v>
      </c>
      <c r="O52" s="302"/>
      <c r="P52" s="302"/>
      <c r="Q52" s="303">
        <f>Q50*Q51</f>
        <v>47110.568999999996</v>
      </c>
    </row>
    <row r="53" spans="1:18">
      <c r="A53" s="294" t="s">
        <v>323</v>
      </c>
      <c r="B53" s="294"/>
      <c r="C53" s="294"/>
      <c r="D53" s="296"/>
      <c r="N53" s="294" t="s">
        <v>327</v>
      </c>
      <c r="O53" s="294"/>
      <c r="P53" s="294"/>
      <c r="Q53" s="304">
        <v>2642</v>
      </c>
    </row>
    <row r="54" spans="1:18">
      <c r="A54" s="297" t="s">
        <v>324</v>
      </c>
      <c r="B54" s="297"/>
      <c r="C54" s="298"/>
      <c r="D54" s="310"/>
      <c r="N54" s="294" t="s">
        <v>328</v>
      </c>
      <c r="O54" s="294"/>
      <c r="P54" s="294"/>
      <c r="Q54" s="304">
        <v>12912</v>
      </c>
    </row>
    <row r="55" spans="1:18">
      <c r="A55" s="301" t="s">
        <v>326</v>
      </c>
      <c r="B55" s="302"/>
      <c r="C55" s="302"/>
      <c r="D55" s="303">
        <f>D53*D54</f>
        <v>0</v>
      </c>
      <c r="N55" s="294" t="s">
        <v>329</v>
      </c>
      <c r="O55" s="294"/>
      <c r="P55" s="294"/>
      <c r="Q55" s="295"/>
    </row>
    <row r="56" spans="1:18">
      <c r="A56" s="294" t="s">
        <v>327</v>
      </c>
      <c r="B56" s="294"/>
      <c r="C56" s="294"/>
      <c r="D56" s="304"/>
      <c r="N56" s="294" t="s">
        <v>330</v>
      </c>
      <c r="O56" s="294"/>
      <c r="P56" s="294"/>
      <c r="Q56" s="295"/>
    </row>
    <row r="57" spans="1:18">
      <c r="A57" s="294" t="s">
        <v>328</v>
      </c>
      <c r="B57" s="294"/>
      <c r="C57" s="294"/>
      <c r="D57" s="304"/>
      <c r="N57" s="294" t="s">
        <v>331</v>
      </c>
      <c r="O57" s="294"/>
      <c r="P57" s="294"/>
      <c r="Q57" s="295"/>
    </row>
    <row r="58" spans="1:18">
      <c r="A58" s="294" t="s">
        <v>329</v>
      </c>
      <c r="B58" s="294"/>
      <c r="C58" s="294"/>
      <c r="D58" s="295"/>
      <c r="N58" s="294" t="s">
        <v>332</v>
      </c>
      <c r="O58" s="294"/>
      <c r="P58" s="294"/>
      <c r="Q58" s="295"/>
    </row>
    <row r="59" spans="1:18">
      <c r="A59" s="294" t="s">
        <v>330</v>
      </c>
      <c r="B59" s="294"/>
      <c r="C59" s="294"/>
      <c r="D59" s="295"/>
      <c r="N59" s="294" t="s">
        <v>333</v>
      </c>
      <c r="O59" s="294"/>
      <c r="P59" s="294"/>
      <c r="Q59" s="304">
        <v>-510</v>
      </c>
    </row>
    <row r="60" spans="1:18">
      <c r="A60" s="294" t="s">
        <v>331</v>
      </c>
      <c r="B60" s="294"/>
      <c r="C60" s="294"/>
      <c r="D60" s="295"/>
      <c r="N60" s="301" t="s">
        <v>296</v>
      </c>
      <c r="O60" s="305"/>
      <c r="P60" s="305"/>
      <c r="Q60" s="306">
        <f>SUM(Q52:Q59)</f>
        <v>62154.568999999996</v>
      </c>
    </row>
    <row r="61" spans="1:18">
      <c r="A61" s="294" t="s">
        <v>332</v>
      </c>
      <c r="B61" s="294"/>
      <c r="C61" s="294"/>
      <c r="D61" s="295"/>
    </row>
    <row r="62" spans="1:18">
      <c r="A62" s="294" t="s">
        <v>333</v>
      </c>
      <c r="B62" s="294"/>
      <c r="C62" s="294"/>
      <c r="D62" s="304"/>
    </row>
    <row r="63" spans="1:18">
      <c r="A63" s="301" t="s">
        <v>296</v>
      </c>
      <c r="B63" s="305"/>
      <c r="C63" s="305"/>
      <c r="D63" s="306">
        <f>SUM(D55:D62)</f>
        <v>0</v>
      </c>
    </row>
  </sheetData>
  <mergeCells count="2">
    <mergeCell ref="A52:D52"/>
    <mergeCell ref="N49:Q4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5CF10-3D6D-42C6-A8A7-08AA8DD907FE}">
  <dimension ref="A1:E51"/>
  <sheetViews>
    <sheetView workbookViewId="0">
      <selection activeCell="E53" sqref="E53"/>
    </sheetView>
  </sheetViews>
  <sheetFormatPr baseColWidth="10" defaultColWidth="8.83203125" defaultRowHeight="15"/>
  <cols>
    <col min="3" max="3" width="25" customWidth="1"/>
    <col min="4" max="4" width="13.6640625" customWidth="1"/>
    <col min="5" max="5" width="13.33203125" customWidth="1"/>
  </cols>
  <sheetData>
    <row r="1" spans="1:5">
      <c r="A1" s="314" t="s">
        <v>352</v>
      </c>
      <c r="B1" s="315"/>
      <c r="C1" s="315"/>
      <c r="D1" s="314" t="s">
        <v>110</v>
      </c>
      <c r="E1" s="314" t="s">
        <v>110</v>
      </c>
    </row>
    <row r="2" spans="1:5">
      <c r="A2" s="316" t="s">
        <v>353</v>
      </c>
      <c r="B2" s="316"/>
      <c r="C2" s="316" t="s">
        <v>110</v>
      </c>
      <c r="D2" s="317" t="s">
        <v>110</v>
      </c>
      <c r="E2" s="318" t="s">
        <v>2</v>
      </c>
    </row>
    <row r="3" spans="1:5">
      <c r="A3" s="316" t="s">
        <v>110</v>
      </c>
      <c r="B3" s="316" t="s">
        <v>110</v>
      </c>
      <c r="C3" s="316" t="s">
        <v>110</v>
      </c>
      <c r="D3" s="315" t="s">
        <v>110</v>
      </c>
      <c r="E3" s="315" t="s">
        <v>110</v>
      </c>
    </row>
    <row r="4" spans="1:5">
      <c r="A4" s="317" t="s">
        <v>110</v>
      </c>
      <c r="B4" s="319" t="s">
        <v>110</v>
      </c>
      <c r="C4" s="320" t="s">
        <v>110</v>
      </c>
      <c r="D4" s="320" t="s">
        <v>6</v>
      </c>
      <c r="E4" s="320" t="s">
        <v>7</v>
      </c>
    </row>
    <row r="5" spans="1:5">
      <c r="A5" s="321" t="s">
        <v>106</v>
      </c>
      <c r="B5" s="321"/>
      <c r="C5" s="321"/>
      <c r="D5" s="517">
        <v>7492.7089999999998</v>
      </c>
      <c r="E5" s="339">
        <f>D5*(1+E6)</f>
        <v>8016.4493591</v>
      </c>
    </row>
    <row r="6" spans="1:5" ht="19.5" customHeight="1">
      <c r="A6" s="312" t="s">
        <v>110</v>
      </c>
      <c r="B6" s="312" t="s">
        <v>110</v>
      </c>
      <c r="C6" s="323" t="s">
        <v>307</v>
      </c>
      <c r="D6" s="323" t="s">
        <v>110</v>
      </c>
      <c r="E6" s="518">
        <v>6.9900000000000004E-2</v>
      </c>
    </row>
    <row r="7" spans="1:5">
      <c r="A7" s="321" t="s">
        <v>110</v>
      </c>
      <c r="B7" s="312" t="s">
        <v>110</v>
      </c>
      <c r="C7" s="323" t="s">
        <v>110</v>
      </c>
      <c r="D7" s="323" t="s">
        <v>110</v>
      </c>
      <c r="E7" s="323" t="s">
        <v>110</v>
      </c>
    </row>
    <row r="8" spans="1:5">
      <c r="A8" s="321" t="s">
        <v>308</v>
      </c>
      <c r="B8" s="321"/>
      <c r="C8" s="321"/>
      <c r="D8" s="519">
        <f>3443.831-D16</f>
        <v>3363.3969999999999</v>
      </c>
      <c r="E8" s="343">
        <f>E5*E9</f>
        <v>3598.4984503000001</v>
      </c>
    </row>
    <row r="9" spans="1:5">
      <c r="A9" s="312" t="s">
        <v>110</v>
      </c>
      <c r="B9" s="325" t="s">
        <v>309</v>
      </c>
      <c r="C9" s="325"/>
      <c r="D9" s="359">
        <f>D8/D5</f>
        <v>0.44888931359805911</v>
      </c>
      <c r="E9" s="359">
        <f>D9</f>
        <v>0.44888931359805911</v>
      </c>
    </row>
    <row r="10" spans="1:5">
      <c r="A10" s="321" t="s">
        <v>310</v>
      </c>
      <c r="B10" s="321"/>
      <c r="C10" s="321"/>
      <c r="D10" s="339">
        <f>D5-D8</f>
        <v>4129.3119999999999</v>
      </c>
      <c r="E10" s="339">
        <f>E5-E8</f>
        <v>4417.9509087999995</v>
      </c>
    </row>
    <row r="11" spans="1:5">
      <c r="A11" s="312" t="s">
        <v>110</v>
      </c>
      <c r="B11" s="325" t="s">
        <v>311</v>
      </c>
      <c r="C11" s="325"/>
      <c r="D11" s="345">
        <f>D10/D5</f>
        <v>0.55111068640194083</v>
      </c>
      <c r="E11" s="345">
        <f>E10/E5</f>
        <v>0.55111068640194083</v>
      </c>
    </row>
    <row r="12" spans="1:5">
      <c r="A12" s="321" t="s">
        <v>154</v>
      </c>
      <c r="B12" s="321"/>
      <c r="C12" s="321"/>
      <c r="D12" s="360">
        <v>2118.5839999999998</v>
      </c>
      <c r="E12" s="343">
        <f>E13*E5</f>
        <v>2266.6730215999996</v>
      </c>
    </row>
    <row r="13" spans="1:5">
      <c r="A13" s="312" t="s">
        <v>110</v>
      </c>
      <c r="B13" s="325" t="s">
        <v>312</v>
      </c>
      <c r="C13" s="325"/>
      <c r="D13" s="345">
        <f>D12/D5</f>
        <v>0.28275274003034145</v>
      </c>
      <c r="E13" s="345">
        <f>D13</f>
        <v>0.28275274003034145</v>
      </c>
    </row>
    <row r="14" spans="1:5">
      <c r="A14" s="321" t="s">
        <v>121</v>
      </c>
      <c r="B14" s="321"/>
      <c r="C14" s="322" t="s">
        <v>110</v>
      </c>
      <c r="D14" s="339">
        <f>D10-D12</f>
        <v>2010.7280000000001</v>
      </c>
      <c r="E14" s="339">
        <f>E10-E12</f>
        <v>2151.2778871999999</v>
      </c>
    </row>
    <row r="15" spans="1:5">
      <c r="A15" s="312" t="s">
        <v>110</v>
      </c>
      <c r="B15" s="325" t="s">
        <v>313</v>
      </c>
      <c r="C15" s="325"/>
      <c r="D15" s="361">
        <f>D14/D5</f>
        <v>0.26835794637159938</v>
      </c>
      <c r="E15" s="361">
        <f>E14/E5</f>
        <v>0.26835794637159938</v>
      </c>
    </row>
    <row r="16" spans="1:5">
      <c r="A16" s="312" t="s">
        <v>56</v>
      </c>
      <c r="B16" s="312"/>
      <c r="C16" s="312"/>
      <c r="D16" s="519">
        <v>80.433999999999997</v>
      </c>
      <c r="E16" s="343">
        <f>E17*E5</f>
        <v>86.056336600000009</v>
      </c>
    </row>
    <row r="17" spans="1:5">
      <c r="A17" s="312" t="s">
        <v>110</v>
      </c>
      <c r="B17" s="325" t="s">
        <v>314</v>
      </c>
      <c r="C17" s="325"/>
      <c r="D17" s="362">
        <f>D16/D5</f>
        <v>1.0734969154680904E-2</v>
      </c>
      <c r="E17" s="362">
        <f>D17</f>
        <v>1.0734969154680904E-2</v>
      </c>
    </row>
    <row r="18" spans="1:5">
      <c r="A18" s="321" t="s">
        <v>123</v>
      </c>
      <c r="B18" s="321"/>
      <c r="C18" s="322" t="s">
        <v>110</v>
      </c>
      <c r="D18" s="339">
        <f>D14-D16</f>
        <v>1930.2940000000001</v>
      </c>
      <c r="E18" s="339">
        <f>E14-E16</f>
        <v>2065.2215505999998</v>
      </c>
    </row>
    <row r="19" spans="1:5">
      <c r="A19" s="312" t="s">
        <v>110</v>
      </c>
      <c r="B19" s="325" t="s">
        <v>124</v>
      </c>
      <c r="C19" s="325"/>
      <c r="D19" s="362">
        <f>D18/D5</f>
        <v>0.25762297721691851</v>
      </c>
      <c r="E19" s="362">
        <f>E18/E5</f>
        <v>0.25762297721691846</v>
      </c>
    </row>
    <row r="20" spans="1:5">
      <c r="A20" s="321" t="s">
        <v>127</v>
      </c>
      <c r="B20" s="321"/>
      <c r="C20" s="325" t="s">
        <v>110</v>
      </c>
      <c r="D20" s="323" t="s">
        <v>110</v>
      </c>
      <c r="E20" s="323" t="s">
        <v>110</v>
      </c>
    </row>
    <row r="21" spans="1:5">
      <c r="A21" s="312" t="s">
        <v>110</v>
      </c>
      <c r="B21" s="321" t="s">
        <v>317</v>
      </c>
      <c r="C21" s="321"/>
      <c r="D21" s="520">
        <v>59.164999999999999</v>
      </c>
      <c r="E21" s="520">
        <f>D21</f>
        <v>59.164999999999999</v>
      </c>
    </row>
    <row r="22" spans="1:5">
      <c r="A22" s="321" t="s">
        <v>318</v>
      </c>
      <c r="B22" s="321"/>
      <c r="C22" s="321"/>
      <c r="D22" s="339">
        <f>D18+D21</f>
        <v>1989.4590000000001</v>
      </c>
      <c r="E22" s="339">
        <f>E18+E21</f>
        <v>2124.3865505999997</v>
      </c>
    </row>
    <row r="23" spans="1:5">
      <c r="A23" s="312" t="s">
        <v>110</v>
      </c>
      <c r="B23" s="325" t="s">
        <v>319</v>
      </c>
      <c r="C23" s="325"/>
      <c r="D23" s="345">
        <f>D22/D5</f>
        <v>0.26551932018179275</v>
      </c>
      <c r="E23" s="345">
        <f>E22/E5</f>
        <v>0.26500342675881416</v>
      </c>
    </row>
    <row r="24" spans="1:5">
      <c r="A24" s="312" t="s">
        <v>320</v>
      </c>
      <c r="B24" s="312"/>
      <c r="C24" s="312"/>
      <c r="D24" s="343">
        <v>480.411</v>
      </c>
      <c r="E24" s="343">
        <f>E22*E25</f>
        <v>512.99306352143799</v>
      </c>
    </row>
    <row r="25" spans="1:5">
      <c r="A25" s="312" t="s">
        <v>110</v>
      </c>
      <c r="B25" s="325" t="s">
        <v>321</v>
      </c>
      <c r="C25" s="325"/>
      <c r="D25" s="534">
        <f>D24/D22</f>
        <v>0.24147821091060434</v>
      </c>
      <c r="E25" s="344">
        <f>D25</f>
        <v>0.24147821091060434</v>
      </c>
    </row>
    <row r="26" spans="1:5">
      <c r="A26" s="321" t="s">
        <v>336</v>
      </c>
      <c r="B26" s="321"/>
      <c r="C26" s="321"/>
      <c r="D26" s="339">
        <f>D22-D24</f>
        <v>1509.048</v>
      </c>
      <c r="E26" s="339">
        <f>E22-E24</f>
        <v>1611.3934870785617</v>
      </c>
    </row>
    <row r="27" spans="1:5">
      <c r="A27" s="312" t="s">
        <v>110</v>
      </c>
      <c r="B27" s="312" t="s">
        <v>337</v>
      </c>
      <c r="C27" s="312"/>
      <c r="D27" s="341">
        <v>0</v>
      </c>
      <c r="E27" s="341">
        <v>0</v>
      </c>
    </row>
    <row r="28" spans="1:5">
      <c r="A28" s="312" t="s">
        <v>110</v>
      </c>
      <c r="B28" s="312" t="s">
        <v>338</v>
      </c>
      <c r="C28" s="312"/>
      <c r="D28" s="341">
        <v>0</v>
      </c>
      <c r="E28" s="341">
        <v>0</v>
      </c>
    </row>
    <row r="29" spans="1:5">
      <c r="A29" s="312" t="s">
        <v>110</v>
      </c>
      <c r="B29" s="312" t="s">
        <v>339</v>
      </c>
      <c r="C29" s="312"/>
      <c r="D29" s="341">
        <v>0</v>
      </c>
      <c r="E29" s="341">
        <v>0</v>
      </c>
    </row>
    <row r="30" spans="1:5">
      <c r="A30" s="312" t="s">
        <v>110</v>
      </c>
      <c r="B30" s="312" t="s">
        <v>214</v>
      </c>
      <c r="C30" s="312" t="s">
        <v>110</v>
      </c>
      <c r="D30" s="341">
        <v>0</v>
      </c>
      <c r="E30" s="341">
        <f>D30</f>
        <v>0</v>
      </c>
    </row>
    <row r="31" spans="1:5">
      <c r="A31" s="321" t="s">
        <v>340</v>
      </c>
      <c r="B31" s="321"/>
      <c r="C31" s="321"/>
      <c r="D31" s="339">
        <f>D26-SUM(D27:D30)</f>
        <v>1509.048</v>
      </c>
      <c r="E31" s="339">
        <f>E26-SUM(E27:E30)</f>
        <v>1611.3934870785617</v>
      </c>
    </row>
    <row r="32" spans="1:5">
      <c r="A32" s="321" t="s">
        <v>341</v>
      </c>
      <c r="B32" s="321"/>
      <c r="C32" s="321"/>
      <c r="D32" s="312" t="s">
        <v>110</v>
      </c>
      <c r="E32" s="312" t="s">
        <v>110</v>
      </c>
    </row>
    <row r="33" spans="1:5">
      <c r="A33" s="312" t="s">
        <v>110</v>
      </c>
      <c r="B33" s="312" t="s">
        <v>342</v>
      </c>
      <c r="C33" s="312" t="s">
        <v>110</v>
      </c>
      <c r="D33" s="524">
        <f>D31/D36</f>
        <v>1.5</v>
      </c>
      <c r="E33" s="524">
        <f>E31/E36</f>
        <v>1.7637844648408074</v>
      </c>
    </row>
    <row r="34" spans="1:5">
      <c r="A34" s="312" t="s">
        <v>110</v>
      </c>
      <c r="B34" s="312" t="s">
        <v>343</v>
      </c>
      <c r="C34" s="312" t="s">
        <v>110</v>
      </c>
      <c r="D34" s="524">
        <f>D31/D37</f>
        <v>1.4899998420196212</v>
      </c>
      <c r="E34" s="524">
        <f>E31/E37</f>
        <v>1.764634332514085</v>
      </c>
    </row>
    <row r="35" spans="1:5">
      <c r="A35" s="321" t="s">
        <v>344</v>
      </c>
      <c r="B35" s="321"/>
      <c r="C35" s="321"/>
      <c r="D35" s="322" t="s">
        <v>110</v>
      </c>
      <c r="E35" s="322" t="s">
        <v>110</v>
      </c>
    </row>
    <row r="36" spans="1:5">
      <c r="A36" s="312" t="s">
        <v>110</v>
      </c>
      <c r="B36" s="312" t="s">
        <v>342</v>
      </c>
      <c r="C36" s="312" t="s">
        <v>110</v>
      </c>
      <c r="D36" s="352">
        <v>1006.032</v>
      </c>
      <c r="E36" s="353">
        <v>913.6</v>
      </c>
    </row>
    <row r="37" spans="1:5">
      <c r="A37" s="354" t="s">
        <v>110</v>
      </c>
      <c r="B37" s="354" t="s">
        <v>343</v>
      </c>
      <c r="C37" s="354" t="s">
        <v>110</v>
      </c>
      <c r="D37" s="355">
        <v>1012.784</v>
      </c>
      <c r="E37" s="356">
        <f>D42</f>
        <v>913.16</v>
      </c>
    </row>
    <row r="38" spans="1:5">
      <c r="A38" s="311"/>
      <c r="B38" s="311"/>
      <c r="C38" s="311"/>
      <c r="D38" s="311"/>
      <c r="E38" s="311"/>
    </row>
    <row r="39" spans="1:5">
      <c r="A39" s="311"/>
      <c r="B39" s="311"/>
      <c r="C39" s="311"/>
      <c r="D39" s="311"/>
      <c r="E39" s="311"/>
    </row>
    <row r="40" spans="1:5">
      <c r="A40" s="550" t="s">
        <v>322</v>
      </c>
      <c r="B40" s="551"/>
      <c r="C40" s="551"/>
      <c r="D40" s="552"/>
      <c r="E40" s="311"/>
    </row>
    <row r="41" spans="1:5">
      <c r="A41" s="331" t="s">
        <v>323</v>
      </c>
      <c r="B41" s="331"/>
      <c r="C41" s="331"/>
      <c r="D41" s="521">
        <v>59.98</v>
      </c>
      <c r="E41" s="311"/>
    </row>
    <row r="42" spans="1:5">
      <c r="A42" s="332" t="s">
        <v>324</v>
      </c>
      <c r="B42" s="331"/>
      <c r="C42" s="331"/>
      <c r="D42" s="522">
        <v>913.16</v>
      </c>
      <c r="E42" s="311" t="s">
        <v>325</v>
      </c>
    </row>
    <row r="43" spans="1:5">
      <c r="A43" s="333" t="s">
        <v>326</v>
      </c>
      <c r="B43" s="334"/>
      <c r="C43" s="334"/>
      <c r="D43" s="357">
        <f>D41*D42</f>
        <v>54771.336799999997</v>
      </c>
      <c r="E43" s="311"/>
    </row>
    <row r="44" spans="1:5">
      <c r="A44" s="331" t="s">
        <v>327</v>
      </c>
      <c r="B44" s="331"/>
      <c r="C44" s="331"/>
      <c r="D44" s="523">
        <v>0</v>
      </c>
      <c r="E44" s="311"/>
    </row>
    <row r="45" spans="1:5">
      <c r="A45" s="331" t="s">
        <v>328</v>
      </c>
      <c r="B45" s="331"/>
      <c r="C45" s="331"/>
      <c r="D45" s="523">
        <v>373.95100000000002</v>
      </c>
      <c r="E45" s="311"/>
    </row>
    <row r="46" spans="1:5">
      <c r="A46" s="331" t="s">
        <v>329</v>
      </c>
      <c r="B46" s="331"/>
      <c r="C46" s="331"/>
      <c r="D46" s="523">
        <v>0</v>
      </c>
      <c r="E46" s="311"/>
    </row>
    <row r="47" spans="1:5">
      <c r="A47" s="331" t="s">
        <v>330</v>
      </c>
      <c r="B47" s="331"/>
      <c r="C47" s="331"/>
      <c r="D47" s="523">
        <v>0</v>
      </c>
      <c r="E47" s="311"/>
    </row>
    <row r="48" spans="1:5">
      <c r="A48" s="331" t="s">
        <v>331</v>
      </c>
      <c r="B48" s="331"/>
      <c r="C48" s="331"/>
      <c r="D48" s="523">
        <v>0</v>
      </c>
      <c r="E48" s="311"/>
    </row>
    <row r="49" spans="1:5">
      <c r="A49" s="331" t="s">
        <v>332</v>
      </c>
      <c r="B49" s="331"/>
      <c r="C49" s="331"/>
      <c r="D49" s="523">
        <v>184</v>
      </c>
      <c r="E49" s="311"/>
    </row>
    <row r="50" spans="1:5">
      <c r="A50" s="331" t="s">
        <v>333</v>
      </c>
      <c r="B50" s="331"/>
      <c r="C50" s="331"/>
      <c r="D50" s="523">
        <v>-1533.287</v>
      </c>
      <c r="E50" s="311"/>
    </row>
    <row r="51" spans="1:5">
      <c r="A51" s="333" t="s">
        <v>296</v>
      </c>
      <c r="B51" s="334"/>
      <c r="C51" s="334"/>
      <c r="D51" s="358">
        <f>SUM(D43:D50)</f>
        <v>53796.000800000002</v>
      </c>
      <c r="E51" s="311"/>
    </row>
  </sheetData>
  <mergeCells count="1">
    <mergeCell ref="A40:D4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FC39-B184-4A5B-890B-5E982A4F34AA}">
  <dimension ref="A1:K60"/>
  <sheetViews>
    <sheetView topLeftCell="A36" workbookViewId="0">
      <selection activeCell="H60" sqref="H60"/>
    </sheetView>
  </sheetViews>
  <sheetFormatPr baseColWidth="10" defaultColWidth="8.83203125" defaultRowHeight="15"/>
  <cols>
    <col min="2" max="2" width="9.33203125" customWidth="1"/>
    <col min="3" max="3" width="34.1640625" customWidth="1"/>
    <col min="4" max="5" width="9.6640625" bestFit="1" customWidth="1"/>
  </cols>
  <sheetData>
    <row r="1" spans="1:11">
      <c r="A1" s="131" t="s">
        <v>354</v>
      </c>
      <c r="B1" s="486"/>
      <c r="C1" s="131"/>
      <c r="D1" s="131"/>
      <c r="E1" s="131"/>
      <c r="F1" s="446"/>
      <c r="G1" s="446"/>
      <c r="H1" s="446"/>
      <c r="I1" s="446"/>
      <c r="J1" s="446"/>
      <c r="K1" s="446"/>
    </row>
    <row r="2" spans="1:11">
      <c r="A2" s="132" t="s">
        <v>355</v>
      </c>
      <c r="B2" s="132"/>
      <c r="C2" s="132"/>
      <c r="D2" s="133"/>
      <c r="E2" s="135" t="s">
        <v>2</v>
      </c>
      <c r="F2" s="446"/>
      <c r="G2" s="286"/>
      <c r="H2" s="286"/>
      <c r="I2" s="446"/>
      <c r="J2" s="446"/>
      <c r="K2" s="446"/>
    </row>
    <row r="3" spans="1:11">
      <c r="A3" s="132"/>
      <c r="B3" s="132"/>
      <c r="C3" s="132"/>
      <c r="D3" s="137"/>
      <c r="E3" s="137"/>
      <c r="F3" s="446"/>
      <c r="G3" s="446"/>
      <c r="H3" s="446"/>
      <c r="I3" s="446"/>
      <c r="J3" s="446"/>
      <c r="K3" s="446"/>
    </row>
    <row r="4" spans="1:11">
      <c r="A4" s="133"/>
      <c r="B4" s="136"/>
      <c r="C4" s="138"/>
      <c r="D4" s="138" t="s">
        <v>6</v>
      </c>
      <c r="E4" s="138" t="s">
        <v>7</v>
      </c>
      <c r="F4" s="446"/>
      <c r="G4" s="446"/>
      <c r="H4" s="446"/>
      <c r="I4" s="446"/>
      <c r="J4" s="446"/>
      <c r="K4" s="446"/>
    </row>
    <row r="5" spans="1:11">
      <c r="A5" s="122" t="s">
        <v>106</v>
      </c>
      <c r="B5" s="119"/>
      <c r="C5" s="139"/>
      <c r="D5" s="287">
        <v>2012.9259999999999</v>
      </c>
      <c r="E5" s="487">
        <f>D5*(1+E6)</f>
        <v>2048.9573753999998</v>
      </c>
      <c r="F5" s="280"/>
      <c r="G5" s="280"/>
      <c r="H5" s="280"/>
      <c r="I5" s="280"/>
      <c r="J5" s="280"/>
      <c r="K5" s="280"/>
    </row>
    <row r="6" spans="1:11">
      <c r="A6" s="119"/>
      <c r="B6" s="119"/>
      <c r="C6" s="488" t="s">
        <v>307</v>
      </c>
      <c r="D6" s="488"/>
      <c r="E6" s="288">
        <v>1.7899999999999999E-2</v>
      </c>
      <c r="F6" s="280"/>
      <c r="G6" s="280"/>
      <c r="H6" s="280"/>
      <c r="I6" s="280"/>
      <c r="J6" s="280"/>
      <c r="K6" s="280"/>
    </row>
    <row r="7" spans="1:11">
      <c r="A7" s="122"/>
      <c r="B7" s="119"/>
      <c r="C7" s="488"/>
      <c r="D7" s="488"/>
      <c r="E7" s="488"/>
      <c r="F7" s="280"/>
      <c r="G7" s="280"/>
      <c r="H7" s="280"/>
      <c r="I7" s="280"/>
      <c r="J7" s="280"/>
      <c r="K7" s="280"/>
    </row>
    <row r="8" spans="1:11">
      <c r="A8" s="122" t="s">
        <v>308</v>
      </c>
      <c r="B8" s="122"/>
      <c r="C8" s="489"/>
      <c r="D8" s="290">
        <f>1119.194-D16</f>
        <v>1025.202</v>
      </c>
      <c r="E8" s="490">
        <f>E9*E5</f>
        <v>1043.5531158000001</v>
      </c>
      <c r="F8" s="280"/>
      <c r="G8" s="280"/>
      <c r="H8" s="280"/>
      <c r="I8" s="280"/>
      <c r="J8" s="280"/>
      <c r="K8" s="280"/>
    </row>
    <row r="9" spans="1:11">
      <c r="A9" s="119"/>
      <c r="B9" s="145" t="s">
        <v>309</v>
      </c>
      <c r="C9" s="488"/>
      <c r="D9" s="491">
        <f>D8/D5</f>
        <v>0.509309333775807</v>
      </c>
      <c r="E9" s="491">
        <f>D9</f>
        <v>0.509309333775807</v>
      </c>
      <c r="F9" s="280"/>
      <c r="G9" s="280"/>
      <c r="H9" s="280"/>
      <c r="I9" s="280"/>
      <c r="J9" s="280"/>
      <c r="K9" s="280"/>
    </row>
    <row r="10" spans="1:11">
      <c r="A10" s="122" t="s">
        <v>310</v>
      </c>
      <c r="B10" s="122"/>
      <c r="C10" s="139"/>
      <c r="D10" s="487">
        <f>D5-D8</f>
        <v>987.72399999999993</v>
      </c>
      <c r="E10" s="487">
        <f>E11*E5</f>
        <v>1017.6980038523999</v>
      </c>
      <c r="F10" s="280"/>
      <c r="G10" s="280"/>
      <c r="H10" s="280"/>
      <c r="I10" s="280"/>
      <c r="J10" s="280"/>
      <c r="K10" s="280"/>
    </row>
    <row r="11" spans="1:11">
      <c r="A11" s="119"/>
      <c r="B11" s="145" t="s">
        <v>311</v>
      </c>
      <c r="C11" s="488"/>
      <c r="D11" s="492">
        <f>D10/D5</f>
        <v>0.49069066622419305</v>
      </c>
      <c r="E11" s="492">
        <f>D11+0.6%</f>
        <v>0.49669066622419306</v>
      </c>
      <c r="F11" s="280"/>
      <c r="G11" s="280"/>
      <c r="H11" s="280"/>
      <c r="I11" s="280"/>
      <c r="J11" s="280"/>
      <c r="K11" s="280"/>
    </row>
    <row r="12" spans="1:11">
      <c r="A12" s="122" t="s">
        <v>154</v>
      </c>
      <c r="B12" s="119"/>
      <c r="C12" s="119"/>
      <c r="D12" s="502">
        <v>817.75900000000001</v>
      </c>
      <c r="E12" s="503">
        <f>E13*E5</f>
        <v>832.39688609999996</v>
      </c>
      <c r="F12" s="280"/>
      <c r="G12" s="280"/>
      <c r="H12" s="280"/>
      <c r="I12" s="280"/>
      <c r="J12" s="280"/>
      <c r="K12" s="280"/>
    </row>
    <row r="13" spans="1:11">
      <c r="A13" s="119"/>
      <c r="B13" s="145" t="s">
        <v>312</v>
      </c>
      <c r="C13" s="488"/>
      <c r="D13" s="492">
        <f>D12/D5</f>
        <v>0.40625388116602401</v>
      </c>
      <c r="E13" s="492">
        <f>D13</f>
        <v>0.40625388116602401</v>
      </c>
      <c r="F13" s="280"/>
      <c r="G13" s="280"/>
      <c r="H13" s="280"/>
      <c r="I13" s="280"/>
      <c r="J13" s="280"/>
      <c r="K13" s="280"/>
    </row>
    <row r="14" spans="1:11">
      <c r="A14" s="122" t="s">
        <v>121</v>
      </c>
      <c r="B14" s="122"/>
      <c r="C14" s="139"/>
      <c r="D14" s="487">
        <f>D10-D12</f>
        <v>169.96499999999992</v>
      </c>
      <c r="E14" s="487">
        <f>E10-E12</f>
        <v>185.30111775239993</v>
      </c>
      <c r="F14" s="280"/>
      <c r="G14" s="280"/>
      <c r="H14" s="280"/>
      <c r="I14" s="280"/>
      <c r="J14" s="280"/>
      <c r="K14" s="280"/>
    </row>
    <row r="15" spans="1:11">
      <c r="A15" s="119"/>
      <c r="B15" s="145" t="s">
        <v>313</v>
      </c>
      <c r="C15" s="488"/>
      <c r="D15" s="504">
        <f>D14/D5</f>
        <v>8.4436785058169012E-2</v>
      </c>
      <c r="E15" s="504">
        <f>E14/E5</f>
        <v>9.0436785058169031E-2</v>
      </c>
      <c r="F15" s="280"/>
      <c r="G15" s="280"/>
      <c r="H15" s="280"/>
      <c r="I15" s="280"/>
      <c r="J15" s="280"/>
      <c r="K15" s="280"/>
    </row>
    <row r="16" spans="1:11">
      <c r="A16" s="119" t="s">
        <v>56</v>
      </c>
      <c r="B16" s="119"/>
      <c r="C16" s="119"/>
      <c r="D16" s="289">
        <v>93.992000000000004</v>
      </c>
      <c r="E16" s="503">
        <f>E17*E5</f>
        <v>95.674456800000002</v>
      </c>
      <c r="F16" s="280"/>
      <c r="G16" s="280"/>
      <c r="H16" s="280"/>
      <c r="I16" s="280"/>
      <c r="J16" s="280"/>
      <c r="K16" s="280"/>
    </row>
    <row r="17" spans="1:11">
      <c r="A17" s="119"/>
      <c r="B17" s="145" t="s">
        <v>314</v>
      </c>
      <c r="C17" s="119"/>
      <c r="D17" s="505">
        <f>D16/D5</f>
        <v>4.669421528660269E-2</v>
      </c>
      <c r="E17" s="505">
        <f>D17</f>
        <v>4.669421528660269E-2</v>
      </c>
      <c r="F17" s="280"/>
      <c r="G17" s="280"/>
      <c r="H17" s="280"/>
      <c r="I17" s="280"/>
      <c r="J17" s="280"/>
      <c r="K17" s="280"/>
    </row>
    <row r="18" spans="1:11">
      <c r="A18" s="122" t="s">
        <v>123</v>
      </c>
      <c r="B18" s="122"/>
      <c r="C18" s="139"/>
      <c r="D18" s="487">
        <f>D14-D16</f>
        <v>75.972999999999914</v>
      </c>
      <c r="E18" s="487">
        <f>E14-E16</f>
        <v>89.626660952399931</v>
      </c>
      <c r="F18" s="280"/>
      <c r="G18" s="280"/>
      <c r="H18" s="280"/>
      <c r="I18" s="280"/>
      <c r="J18" s="280"/>
      <c r="K18" s="280"/>
    </row>
    <row r="19" spans="1:11">
      <c r="A19" s="119"/>
      <c r="B19" s="145" t="s">
        <v>124</v>
      </c>
      <c r="C19" s="145"/>
      <c r="D19" s="505">
        <f>D18/D5</f>
        <v>3.7742569771566328E-2</v>
      </c>
      <c r="E19" s="505">
        <f>E18/E5</f>
        <v>4.3742569771566334E-2</v>
      </c>
      <c r="F19" s="280"/>
      <c r="G19" s="280"/>
      <c r="H19" s="280"/>
      <c r="I19" s="280"/>
      <c r="J19" s="280"/>
      <c r="K19" s="280"/>
    </row>
    <row r="20" spans="1:11">
      <c r="A20" s="122" t="s">
        <v>356</v>
      </c>
      <c r="B20" s="119"/>
      <c r="C20" s="489"/>
      <c r="D20" s="502"/>
      <c r="E20" s="489"/>
      <c r="F20" s="280"/>
      <c r="G20" s="280"/>
      <c r="H20" s="280"/>
      <c r="I20" s="280"/>
      <c r="J20" s="280"/>
      <c r="K20" s="280"/>
    </row>
    <row r="21" spans="1:11">
      <c r="A21" s="122"/>
      <c r="B21" s="119" t="s">
        <v>357</v>
      </c>
      <c r="C21" s="145"/>
      <c r="D21" s="307">
        <v>-13.249000000000001</v>
      </c>
      <c r="E21" s="291">
        <f>D21</f>
        <v>-13.249000000000001</v>
      </c>
      <c r="F21" s="280"/>
      <c r="G21" s="280"/>
      <c r="H21" s="280"/>
      <c r="I21" s="280"/>
      <c r="J21" s="280"/>
      <c r="K21" s="280"/>
    </row>
    <row r="22" spans="1:11">
      <c r="A22" s="119"/>
      <c r="B22" s="119" t="s">
        <v>358</v>
      </c>
      <c r="C22" s="119"/>
      <c r="D22" s="291">
        <v>-1.62</v>
      </c>
      <c r="E22" s="291">
        <f>D22</f>
        <v>-1.62</v>
      </c>
      <c r="F22" s="280"/>
      <c r="G22" s="280"/>
      <c r="H22" s="280"/>
      <c r="I22" s="280"/>
      <c r="J22" s="280"/>
      <c r="K22" s="280"/>
    </row>
    <row r="23" spans="1:11">
      <c r="A23" s="119"/>
      <c r="B23" s="122" t="s">
        <v>359</v>
      </c>
      <c r="C23" s="119"/>
      <c r="D23" s="308">
        <f>D21-D22</f>
        <v>-11.629000000000001</v>
      </c>
      <c r="E23" s="308">
        <f>E21-E22</f>
        <v>-11.629000000000001</v>
      </c>
      <c r="F23" s="280"/>
      <c r="G23" s="119"/>
      <c r="H23" s="119"/>
      <c r="I23" s="280"/>
      <c r="J23" s="280"/>
      <c r="K23" s="280"/>
    </row>
    <row r="24" spans="1:11">
      <c r="A24" s="122" t="s">
        <v>318</v>
      </c>
      <c r="B24" s="122"/>
      <c r="C24" s="119"/>
      <c r="D24" s="487">
        <f>D18-D23</f>
        <v>87.601999999999919</v>
      </c>
      <c r="E24" s="487">
        <f>E18-E23</f>
        <v>101.25566095239994</v>
      </c>
      <c r="F24" s="280"/>
      <c r="G24" s="280"/>
      <c r="H24" s="119"/>
      <c r="I24" s="280"/>
      <c r="J24" s="280"/>
      <c r="K24" s="280"/>
    </row>
    <row r="25" spans="1:11">
      <c r="A25" s="119"/>
      <c r="B25" s="145" t="s">
        <v>319</v>
      </c>
      <c r="C25" s="488"/>
      <c r="D25" s="506">
        <f>D24/D5</f>
        <v>4.351973197226322E-2</v>
      </c>
      <c r="E25" s="506">
        <f>E24/E5</f>
        <v>4.9418139278096351E-2</v>
      </c>
      <c r="F25" s="280"/>
      <c r="G25" s="280"/>
      <c r="H25" s="280"/>
      <c r="I25" s="280"/>
      <c r="J25" s="280"/>
      <c r="K25" s="280"/>
    </row>
    <row r="26" spans="1:11">
      <c r="A26" s="119" t="s">
        <v>320</v>
      </c>
      <c r="B26" s="119"/>
      <c r="C26" s="119"/>
      <c r="D26" s="489">
        <v>27.907</v>
      </c>
      <c r="E26" s="503">
        <f>E27*E24</f>
        <v>32.256589235389917</v>
      </c>
      <c r="F26" s="280"/>
      <c r="G26" s="280"/>
      <c r="H26" s="280"/>
      <c r="I26" s="280"/>
      <c r="J26" s="280"/>
      <c r="K26" s="280"/>
    </row>
    <row r="27" spans="1:11">
      <c r="A27" s="119"/>
      <c r="B27" s="145" t="s">
        <v>321</v>
      </c>
      <c r="C27" s="488"/>
      <c r="D27" s="309">
        <f>D26/D24</f>
        <v>0.31856578616926584</v>
      </c>
      <c r="E27" s="492">
        <f>D27</f>
        <v>0.31856578616926584</v>
      </c>
      <c r="F27" s="280"/>
      <c r="G27" s="280"/>
      <c r="H27" s="280"/>
      <c r="I27" s="280"/>
      <c r="J27" s="280"/>
      <c r="K27" s="280"/>
    </row>
    <row r="28" spans="1:11">
      <c r="A28" s="122" t="s">
        <v>135</v>
      </c>
      <c r="B28" s="119"/>
      <c r="C28" s="119"/>
      <c r="D28" s="507">
        <f>D24-D26</f>
        <v>59.694999999999922</v>
      </c>
      <c r="E28" s="507">
        <f>E24-E26</f>
        <v>68.999071717010025</v>
      </c>
      <c r="F28" s="280"/>
      <c r="G28" s="280"/>
      <c r="H28" s="280"/>
      <c r="I28" s="280"/>
      <c r="J28" s="280"/>
      <c r="K28" s="280"/>
    </row>
    <row r="29" spans="1:11">
      <c r="A29" s="122" t="s">
        <v>137</v>
      </c>
      <c r="B29" s="119"/>
      <c r="C29" s="119"/>
      <c r="D29" s="489"/>
      <c r="E29" s="489"/>
      <c r="F29" s="280"/>
      <c r="G29" s="280"/>
      <c r="H29" s="280"/>
      <c r="I29" s="280"/>
      <c r="J29" s="280"/>
      <c r="K29" s="280"/>
    </row>
    <row r="30" spans="1:11">
      <c r="A30" s="122"/>
      <c r="B30" s="119" t="s">
        <v>138</v>
      </c>
      <c r="C30" s="119"/>
      <c r="D30" s="495">
        <v>0</v>
      </c>
      <c r="E30" s="495">
        <v>0</v>
      </c>
      <c r="F30" s="280"/>
      <c r="G30" s="280"/>
      <c r="H30" s="280"/>
      <c r="I30" s="280"/>
      <c r="J30" s="280"/>
      <c r="K30" s="280"/>
    </row>
    <row r="31" spans="1:11">
      <c r="A31" s="122"/>
      <c r="B31" s="119" t="s">
        <v>139</v>
      </c>
      <c r="C31" s="119"/>
      <c r="D31" s="495">
        <v>0</v>
      </c>
      <c r="E31" s="495">
        <v>0</v>
      </c>
      <c r="F31" s="280"/>
      <c r="G31" s="280"/>
      <c r="H31" s="280"/>
      <c r="I31" s="280"/>
      <c r="J31" s="280"/>
      <c r="K31" s="280"/>
    </row>
    <row r="32" spans="1:11">
      <c r="A32" s="122"/>
      <c r="B32" s="119" t="s">
        <v>140</v>
      </c>
      <c r="C32" s="119"/>
      <c r="D32" s="495">
        <v>0</v>
      </c>
      <c r="E32" s="495">
        <v>0</v>
      </c>
      <c r="F32" s="280"/>
      <c r="G32" s="280"/>
      <c r="H32" s="280"/>
      <c r="I32" s="280"/>
      <c r="J32" s="280"/>
      <c r="K32" s="280"/>
    </row>
    <row r="33" spans="1:11">
      <c r="A33" s="122"/>
      <c r="B33" s="119" t="s">
        <v>141</v>
      </c>
      <c r="C33" s="119"/>
      <c r="D33" s="495">
        <v>0</v>
      </c>
      <c r="E33" s="495">
        <v>0</v>
      </c>
      <c r="F33" s="280"/>
      <c r="G33" s="280"/>
      <c r="H33" s="280"/>
      <c r="I33" s="280"/>
      <c r="J33" s="280"/>
      <c r="K33" s="280"/>
    </row>
    <row r="34" spans="1:11">
      <c r="A34" s="122"/>
      <c r="B34" s="119" t="s">
        <v>63</v>
      </c>
      <c r="C34" s="119"/>
      <c r="D34" s="496">
        <v>0</v>
      </c>
      <c r="E34" s="496">
        <v>0</v>
      </c>
      <c r="F34" s="280"/>
      <c r="G34" s="280"/>
      <c r="H34" s="280"/>
      <c r="I34" s="280"/>
      <c r="J34" s="280"/>
      <c r="K34" s="280"/>
    </row>
    <row r="35" spans="1:11">
      <c r="A35" s="122"/>
      <c r="B35" s="122" t="s">
        <v>142</v>
      </c>
      <c r="C35" s="119"/>
      <c r="D35" s="497">
        <v>0</v>
      </c>
      <c r="E35" s="497">
        <v>0</v>
      </c>
      <c r="F35" s="280"/>
      <c r="G35" s="280"/>
      <c r="H35" s="280"/>
      <c r="I35" s="280"/>
      <c r="J35" s="280"/>
      <c r="K35" s="280"/>
    </row>
    <row r="36" spans="1:11">
      <c r="A36" s="122"/>
      <c r="B36" s="122" t="s">
        <v>143</v>
      </c>
      <c r="C36" s="139"/>
      <c r="D36" s="508">
        <f>D28</f>
        <v>59.694999999999922</v>
      </c>
      <c r="E36" s="508">
        <f>E28</f>
        <v>68.999071717010025</v>
      </c>
      <c r="F36" s="280"/>
      <c r="G36" s="280"/>
      <c r="H36" s="280"/>
      <c r="I36" s="280"/>
      <c r="J36" s="280"/>
      <c r="K36" s="280"/>
    </row>
    <row r="37" spans="1:11">
      <c r="A37" s="122"/>
      <c r="B37" s="119" t="s">
        <v>141</v>
      </c>
      <c r="C37" s="119"/>
      <c r="D37" s="495">
        <v>0</v>
      </c>
      <c r="E37" s="495">
        <v>0</v>
      </c>
      <c r="F37" s="280"/>
      <c r="G37" s="280"/>
      <c r="H37" s="280"/>
      <c r="I37" s="280"/>
      <c r="J37" s="280"/>
      <c r="K37" s="280"/>
    </row>
    <row r="38" spans="1:11">
      <c r="A38" s="122"/>
      <c r="B38" s="119" t="s">
        <v>144</v>
      </c>
      <c r="C38" s="145"/>
      <c r="D38" s="496">
        <v>0</v>
      </c>
      <c r="E38" s="496">
        <v>0</v>
      </c>
      <c r="F38" s="280"/>
      <c r="G38" s="280"/>
      <c r="H38" s="280"/>
      <c r="I38" s="280"/>
      <c r="J38" s="280"/>
      <c r="K38" s="280"/>
    </row>
    <row r="39" spans="1:11">
      <c r="A39" s="122"/>
      <c r="B39" s="119"/>
      <c r="C39" s="145" t="s">
        <v>145</v>
      </c>
      <c r="D39" s="509">
        <v>0</v>
      </c>
      <c r="E39" s="509">
        <v>0</v>
      </c>
      <c r="F39" s="280"/>
      <c r="G39" s="280"/>
      <c r="H39" s="280"/>
      <c r="I39" s="280"/>
      <c r="J39" s="280"/>
      <c r="K39" s="280"/>
    </row>
    <row r="40" spans="1:11">
      <c r="A40" s="122" t="s">
        <v>146</v>
      </c>
      <c r="B40" s="119"/>
      <c r="C40" s="119"/>
      <c r="D40" s="510">
        <f>D36</f>
        <v>59.694999999999922</v>
      </c>
      <c r="E40" s="510">
        <f>E36</f>
        <v>68.999071717010025</v>
      </c>
      <c r="F40" s="280"/>
      <c r="G40" s="280"/>
      <c r="H40" s="280"/>
      <c r="I40" s="280"/>
      <c r="J40" s="280"/>
      <c r="K40" s="280"/>
    </row>
    <row r="41" spans="1:11">
      <c r="A41" s="122" t="s">
        <v>147</v>
      </c>
      <c r="B41" s="119"/>
      <c r="C41" s="119"/>
      <c r="D41" s="121"/>
      <c r="E41" s="121"/>
      <c r="F41" s="280"/>
      <c r="G41" s="280"/>
      <c r="H41" s="280"/>
      <c r="I41" s="280"/>
      <c r="J41" s="280"/>
      <c r="K41" s="280"/>
    </row>
    <row r="42" spans="1:11">
      <c r="A42" s="122"/>
      <c r="B42" s="119" t="s">
        <v>148</v>
      </c>
      <c r="C42" s="119"/>
      <c r="D42" s="500">
        <f>D40/D45</f>
        <v>5.0700696449804594</v>
      </c>
      <c r="E42" s="500">
        <f>E40/E45</f>
        <v>6.1185662602651441</v>
      </c>
      <c r="F42" s="280"/>
      <c r="G42" s="280"/>
      <c r="H42" s="280"/>
      <c r="I42" s="280"/>
      <c r="J42" s="280"/>
      <c r="K42" s="280"/>
    </row>
    <row r="43" spans="1:11">
      <c r="A43" s="122"/>
      <c r="B43" s="119" t="s">
        <v>149</v>
      </c>
      <c r="C43" s="119"/>
      <c r="D43" s="500">
        <f>D40/D46</f>
        <v>5.0735169131395477</v>
      </c>
      <c r="E43" s="500">
        <f>E40/E46</f>
        <v>6.1088155570615337</v>
      </c>
      <c r="F43" s="280"/>
      <c r="G43" s="280"/>
      <c r="H43" s="280"/>
      <c r="I43" s="280"/>
      <c r="J43" s="280"/>
      <c r="K43" s="280"/>
    </row>
    <row r="44" spans="1:11">
      <c r="A44" s="122" t="s">
        <v>151</v>
      </c>
      <c r="B44" s="119"/>
      <c r="C44" s="119"/>
      <c r="D44" s="121"/>
      <c r="E44" s="121"/>
      <c r="F44" s="280"/>
      <c r="G44" s="280"/>
      <c r="H44" s="280"/>
      <c r="I44" s="280"/>
      <c r="J44" s="280"/>
      <c r="K44" s="280"/>
    </row>
    <row r="45" spans="1:11">
      <c r="A45" s="122"/>
      <c r="B45" s="119" t="s">
        <v>148</v>
      </c>
      <c r="C45" s="119"/>
      <c r="D45" s="121">
        <v>11.773999999999999</v>
      </c>
      <c r="E45" s="121">
        <v>11.276999999999999</v>
      </c>
      <c r="F45" s="280"/>
      <c r="G45" s="280"/>
      <c r="H45" s="280"/>
      <c r="I45" s="280"/>
      <c r="J45" s="280"/>
      <c r="K45" s="280"/>
    </row>
    <row r="46" spans="1:11">
      <c r="A46" s="122"/>
      <c r="B46" s="119" t="s">
        <v>149</v>
      </c>
      <c r="C46" s="119"/>
      <c r="D46" s="121">
        <v>11.766</v>
      </c>
      <c r="E46" s="121">
        <f>D51</f>
        <v>11.295</v>
      </c>
      <c r="F46" s="280"/>
      <c r="G46" s="280"/>
      <c r="H46" s="280"/>
      <c r="I46" s="280"/>
      <c r="J46" s="280"/>
      <c r="K46" s="280"/>
    </row>
    <row r="47" spans="1:11">
      <c r="A47" s="280"/>
      <c r="B47" s="280"/>
      <c r="C47" s="280"/>
      <c r="D47" s="280"/>
      <c r="E47" s="280"/>
      <c r="F47" s="280"/>
      <c r="G47" s="280"/>
      <c r="H47" s="280"/>
      <c r="I47" s="280"/>
      <c r="J47" s="280"/>
      <c r="K47" s="280"/>
    </row>
    <row r="48" spans="1:11">
      <c r="A48" s="280"/>
      <c r="B48" s="280"/>
      <c r="C48" s="280"/>
      <c r="D48" s="280"/>
      <c r="E48" s="280"/>
      <c r="F48" s="280"/>
      <c r="G48" s="280"/>
      <c r="H48" s="280"/>
      <c r="I48" s="280"/>
      <c r="J48" s="280"/>
      <c r="K48" s="280"/>
    </row>
    <row r="49" spans="1:11">
      <c r="A49" s="547" t="s">
        <v>322</v>
      </c>
      <c r="B49" s="548"/>
      <c r="C49" s="548"/>
      <c r="D49" s="549"/>
      <c r="E49" s="280"/>
      <c r="F49" s="280"/>
      <c r="G49" s="280"/>
      <c r="H49" s="280"/>
      <c r="I49" s="280"/>
      <c r="J49" s="280"/>
      <c r="K49" s="280"/>
    </row>
    <row r="50" spans="1:11">
      <c r="A50" s="294" t="s">
        <v>323</v>
      </c>
      <c r="B50" s="294"/>
      <c r="C50" s="294"/>
      <c r="D50" s="296">
        <v>239.65</v>
      </c>
      <c r="E50" s="280"/>
      <c r="F50" s="280"/>
      <c r="G50" s="280"/>
      <c r="H50" s="280"/>
      <c r="I50" s="280"/>
      <c r="J50" s="280"/>
      <c r="K50" s="280"/>
    </row>
    <row r="51" spans="1:11">
      <c r="A51" s="297" t="s">
        <v>324</v>
      </c>
      <c r="B51" s="297"/>
      <c r="C51" s="298"/>
      <c r="D51" s="299">
        <v>11.295</v>
      </c>
      <c r="E51" s="280" t="s">
        <v>325</v>
      </c>
      <c r="F51" s="280"/>
      <c r="G51" s="280"/>
      <c r="H51" s="280"/>
      <c r="I51" s="280"/>
      <c r="J51" s="280"/>
      <c r="K51" s="280"/>
    </row>
    <row r="52" spans="1:11">
      <c r="A52" s="301" t="s">
        <v>326</v>
      </c>
      <c r="B52" s="302"/>
      <c r="C52" s="302"/>
      <c r="D52" s="303">
        <f>D50*D51</f>
        <v>2706.8467500000002</v>
      </c>
      <c r="E52" s="280"/>
      <c r="F52" s="280"/>
      <c r="G52" s="280"/>
      <c r="H52" s="280"/>
      <c r="I52" s="280"/>
      <c r="J52" s="280"/>
      <c r="K52" s="280"/>
    </row>
    <row r="53" spans="1:11">
      <c r="A53" s="294" t="s">
        <v>327</v>
      </c>
      <c r="B53" s="294"/>
      <c r="C53" s="294"/>
      <c r="D53" s="295">
        <v>0</v>
      </c>
      <c r="E53" s="280"/>
      <c r="F53" s="280"/>
      <c r="G53" s="280"/>
      <c r="H53" s="280"/>
      <c r="I53" s="280"/>
      <c r="J53" s="280"/>
      <c r="K53" s="280"/>
    </row>
    <row r="54" spans="1:11">
      <c r="A54" s="294" t="s">
        <v>328</v>
      </c>
      <c r="B54" s="294"/>
      <c r="C54" s="294"/>
      <c r="D54" s="295">
        <v>0</v>
      </c>
      <c r="E54" s="280"/>
      <c r="F54" s="280"/>
      <c r="G54" s="280"/>
      <c r="H54" s="280"/>
      <c r="I54" s="280"/>
      <c r="J54" s="280"/>
      <c r="K54" s="280"/>
    </row>
    <row r="55" spans="1:11">
      <c r="A55" s="294" t="s">
        <v>329</v>
      </c>
      <c r="B55" s="294"/>
      <c r="C55" s="294"/>
      <c r="D55" s="295">
        <v>0</v>
      </c>
      <c r="E55" s="280"/>
      <c r="F55" s="280"/>
      <c r="G55" s="280"/>
      <c r="H55" s="280"/>
      <c r="I55" s="280"/>
      <c r="J55" s="280"/>
      <c r="K55" s="280"/>
    </row>
    <row r="56" spans="1:11">
      <c r="A56" s="294" t="s">
        <v>330</v>
      </c>
      <c r="B56" s="294"/>
      <c r="C56" s="294"/>
      <c r="D56" s="295">
        <v>0</v>
      </c>
      <c r="E56" s="280"/>
      <c r="F56" s="280"/>
      <c r="G56" s="280"/>
      <c r="H56" s="280"/>
      <c r="I56" s="280"/>
      <c r="J56" s="280"/>
      <c r="K56" s="280"/>
    </row>
    <row r="57" spans="1:11">
      <c r="A57" s="294" t="s">
        <v>331</v>
      </c>
      <c r="B57" s="294"/>
      <c r="C57" s="294"/>
      <c r="D57" s="295">
        <v>0</v>
      </c>
      <c r="E57" s="280"/>
      <c r="F57" s="280"/>
      <c r="G57" s="280"/>
      <c r="H57" s="280"/>
      <c r="I57" s="280"/>
      <c r="J57" s="280"/>
      <c r="K57" s="280"/>
    </row>
    <row r="58" spans="1:11">
      <c r="A58" s="294" t="s">
        <v>332</v>
      </c>
      <c r="B58" s="294"/>
      <c r="C58" s="294"/>
      <c r="D58" s="295">
        <v>0</v>
      </c>
      <c r="E58" s="280"/>
      <c r="F58" s="280"/>
      <c r="G58" s="280"/>
      <c r="H58" s="280"/>
      <c r="I58" s="280"/>
      <c r="J58" s="280"/>
      <c r="K58" s="280"/>
    </row>
    <row r="59" spans="1:11">
      <c r="A59" s="294" t="s">
        <v>333</v>
      </c>
      <c r="B59" s="294"/>
      <c r="C59" s="294"/>
      <c r="D59" s="295">
        <v>-152.45400000000001</v>
      </c>
      <c r="E59" s="280"/>
      <c r="F59" s="280"/>
      <c r="G59" s="280"/>
      <c r="H59" s="280"/>
      <c r="I59" s="280"/>
      <c r="J59" s="280"/>
      <c r="K59" s="280"/>
    </row>
    <row r="60" spans="1:11">
      <c r="A60" s="301" t="s">
        <v>296</v>
      </c>
      <c r="B60" s="305"/>
      <c r="C60" s="305"/>
      <c r="D60" s="306">
        <f>D52+D59</f>
        <v>2554.39275</v>
      </c>
      <c r="E60" s="280"/>
      <c r="F60" s="280"/>
      <c r="G60" s="280"/>
      <c r="H60" s="280"/>
      <c r="I60" s="280"/>
      <c r="J60" s="280"/>
      <c r="K60" s="280"/>
    </row>
  </sheetData>
  <mergeCells count="1">
    <mergeCell ref="A49:D49"/>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51472-1B92-4C1E-8387-61F8FE18CD8C}">
  <dimension ref="A1:K64"/>
  <sheetViews>
    <sheetView topLeftCell="A47" workbookViewId="0">
      <selection activeCell="I64" sqref="I64"/>
    </sheetView>
  </sheetViews>
  <sheetFormatPr baseColWidth="10" defaultColWidth="8.83203125" defaultRowHeight="15"/>
  <cols>
    <col min="1" max="1" width="11.1640625" customWidth="1"/>
    <col min="4" max="4" width="10.5" bestFit="1" customWidth="1"/>
  </cols>
  <sheetData>
    <row r="1" spans="1:11">
      <c r="A1" s="131" t="s">
        <v>272</v>
      </c>
      <c r="B1" s="486"/>
      <c r="C1" s="131"/>
      <c r="D1" s="131"/>
      <c r="E1" s="131"/>
      <c r="F1" s="446"/>
      <c r="G1" s="446"/>
      <c r="H1" s="446"/>
      <c r="I1" s="446"/>
      <c r="J1" s="446"/>
      <c r="K1" s="446"/>
    </row>
    <row r="2" spans="1:11">
      <c r="A2" s="132"/>
      <c r="B2" s="132"/>
      <c r="C2" s="132"/>
      <c r="D2" s="133"/>
      <c r="E2" s="135" t="s">
        <v>2</v>
      </c>
      <c r="F2" s="446"/>
      <c r="G2" s="286"/>
      <c r="H2" s="286"/>
      <c r="I2" s="446"/>
      <c r="J2" s="446"/>
      <c r="K2" s="446"/>
    </row>
    <row r="3" spans="1:11">
      <c r="A3" s="132"/>
      <c r="B3" s="132"/>
      <c r="C3" s="132"/>
      <c r="D3" s="137"/>
      <c r="E3" s="137"/>
      <c r="F3" s="446"/>
      <c r="G3" s="446"/>
      <c r="H3" s="446"/>
      <c r="I3" s="446"/>
      <c r="J3" s="446"/>
      <c r="K3" s="446"/>
    </row>
    <row r="4" spans="1:11">
      <c r="A4" s="133"/>
      <c r="B4" s="136"/>
      <c r="C4" s="138"/>
      <c r="D4" s="138" t="s">
        <v>6</v>
      </c>
      <c r="E4" s="138" t="s">
        <v>7</v>
      </c>
      <c r="F4" s="446"/>
      <c r="G4" s="446"/>
      <c r="H4" s="446"/>
      <c r="I4" s="446"/>
      <c r="J4" s="446"/>
      <c r="K4" s="446"/>
    </row>
    <row r="5" spans="1:11">
      <c r="A5" s="122" t="s">
        <v>106</v>
      </c>
      <c r="B5" s="119"/>
      <c r="C5" s="139"/>
      <c r="D5" s="287">
        <v>59768</v>
      </c>
      <c r="E5" s="487">
        <f>D5*(1+E6)</f>
        <v>60276.027999999998</v>
      </c>
      <c r="F5" s="280"/>
      <c r="G5" s="280"/>
      <c r="H5" s="280"/>
      <c r="I5" s="280"/>
      <c r="J5" s="280"/>
      <c r="K5" s="280"/>
    </row>
    <row r="6" spans="1:11" ht="40.5" customHeight="1">
      <c r="A6" s="119"/>
      <c r="B6" s="119"/>
      <c r="C6" s="488" t="s">
        <v>307</v>
      </c>
      <c r="D6" s="488"/>
      <c r="E6" s="288">
        <v>8.5000000000000006E-3</v>
      </c>
      <c r="F6" s="280"/>
      <c r="G6" s="280"/>
      <c r="H6" s="280"/>
      <c r="I6" s="280"/>
      <c r="J6" s="280"/>
      <c r="K6" s="280"/>
    </row>
    <row r="7" spans="1:11">
      <c r="A7" s="122"/>
      <c r="B7" s="119"/>
      <c r="C7" s="488"/>
      <c r="D7" s="488"/>
      <c r="E7" s="488"/>
      <c r="F7" s="280"/>
      <c r="G7" s="280"/>
      <c r="H7" s="280"/>
      <c r="I7" s="280"/>
      <c r="J7" s="280"/>
      <c r="K7" s="280"/>
    </row>
    <row r="8" spans="1:11">
      <c r="A8" s="122" t="s">
        <v>308</v>
      </c>
      <c r="B8" s="122"/>
      <c r="C8" s="489"/>
      <c r="D8" s="290">
        <f>26744-D16</f>
        <v>21200</v>
      </c>
      <c r="E8" s="490">
        <f>E9*E5</f>
        <v>21380.2</v>
      </c>
      <c r="F8" s="280"/>
      <c r="G8" s="280"/>
      <c r="H8" s="280"/>
      <c r="I8" s="280"/>
      <c r="J8" s="280"/>
      <c r="K8" s="280"/>
    </row>
    <row r="9" spans="1:11">
      <c r="A9" s="119"/>
      <c r="B9" s="145" t="s">
        <v>309</v>
      </c>
      <c r="C9" s="488"/>
      <c r="D9" s="491">
        <f>D8/D5</f>
        <v>0.35470485878731095</v>
      </c>
      <c r="E9" s="491">
        <f>D9</f>
        <v>0.35470485878731095</v>
      </c>
      <c r="F9" s="280"/>
      <c r="G9" s="280"/>
      <c r="H9" s="280"/>
      <c r="I9" s="280"/>
      <c r="J9" s="280"/>
      <c r="K9" s="280"/>
    </row>
    <row r="10" spans="1:11">
      <c r="A10" s="122" t="s">
        <v>310</v>
      </c>
      <c r="B10" s="122"/>
      <c r="C10" s="139"/>
      <c r="D10" s="487">
        <f>D5-D8</f>
        <v>38568</v>
      </c>
      <c r="E10" s="487">
        <f>E5-E8</f>
        <v>38895.827999999994</v>
      </c>
      <c r="F10" s="280"/>
      <c r="G10" s="280"/>
      <c r="H10" s="280"/>
      <c r="I10" s="280"/>
      <c r="J10" s="280"/>
      <c r="K10" s="280"/>
    </row>
    <row r="11" spans="1:11">
      <c r="A11" s="119"/>
      <c r="B11" s="145" t="s">
        <v>311</v>
      </c>
      <c r="C11" s="488"/>
      <c r="D11" s="492">
        <f>D10/D5</f>
        <v>0.64529514121268905</v>
      </c>
      <c r="E11" s="492">
        <f>E10/E5</f>
        <v>0.64529514121268894</v>
      </c>
      <c r="F11" s="280"/>
      <c r="G11" s="280"/>
      <c r="H11" s="280"/>
      <c r="I11" s="280"/>
      <c r="J11" s="280"/>
      <c r="K11" s="280"/>
    </row>
    <row r="12" spans="1:11">
      <c r="A12" s="122" t="s">
        <v>154</v>
      </c>
      <c r="B12" s="119"/>
      <c r="C12" s="119"/>
      <c r="D12" s="493">
        <f>6201+7156+4983-779-25</f>
        <v>17536</v>
      </c>
      <c r="E12" s="490">
        <f>E13*E5</f>
        <v>17685.055999999997</v>
      </c>
      <c r="F12" s="280"/>
      <c r="G12" s="280"/>
      <c r="H12" s="280"/>
      <c r="I12" s="280"/>
      <c r="J12" s="280"/>
      <c r="K12" s="280"/>
    </row>
    <row r="13" spans="1:11">
      <c r="A13" s="119"/>
      <c r="B13" s="145" t="s">
        <v>312</v>
      </c>
      <c r="C13" s="488"/>
      <c r="D13" s="492">
        <f>D12/D5</f>
        <v>0.29340115111765491</v>
      </c>
      <c r="E13" s="492">
        <f>D13</f>
        <v>0.29340115111765491</v>
      </c>
      <c r="F13" s="280"/>
      <c r="G13" s="280"/>
      <c r="H13" s="280"/>
      <c r="I13" s="280"/>
      <c r="J13" s="280"/>
      <c r="K13" s="280"/>
    </row>
    <row r="14" spans="1:11">
      <c r="A14" s="122" t="s">
        <v>121</v>
      </c>
      <c r="B14" s="122"/>
      <c r="C14" s="139"/>
      <c r="D14" s="487">
        <f>D10-D12</f>
        <v>21032</v>
      </c>
      <c r="E14" s="487">
        <f>E10-E12</f>
        <v>21210.771999999997</v>
      </c>
      <c r="F14" s="280"/>
      <c r="G14" s="280"/>
      <c r="H14" s="280"/>
      <c r="I14" s="280"/>
      <c r="J14" s="280"/>
      <c r="K14" s="280"/>
    </row>
    <row r="15" spans="1:11">
      <c r="A15" s="119"/>
      <c r="B15" s="145" t="s">
        <v>313</v>
      </c>
      <c r="C15" s="488"/>
      <c r="D15" s="504">
        <f>D14/D5</f>
        <v>0.35189399009503414</v>
      </c>
      <c r="E15" s="504">
        <f>E14/E5</f>
        <v>0.35189399009503408</v>
      </c>
      <c r="F15" s="280"/>
      <c r="G15" s="280"/>
      <c r="H15" s="280"/>
      <c r="I15" s="280"/>
      <c r="J15" s="280"/>
      <c r="K15" s="280"/>
    </row>
    <row r="16" spans="1:11">
      <c r="A16" s="119" t="s">
        <v>56</v>
      </c>
      <c r="B16" s="119"/>
      <c r="C16" s="119"/>
      <c r="D16" s="290">
        <v>5544</v>
      </c>
      <c r="E16" s="490">
        <f>E17*E5</f>
        <v>5591.1239999999998</v>
      </c>
      <c r="F16" s="280"/>
      <c r="G16" s="280"/>
      <c r="H16" s="280"/>
      <c r="I16" s="280"/>
      <c r="J16" s="280"/>
      <c r="K16" s="280"/>
    </row>
    <row r="17" spans="1:11">
      <c r="A17" s="119"/>
      <c r="B17" s="145" t="s">
        <v>314</v>
      </c>
      <c r="C17" s="119"/>
      <c r="D17" s="505">
        <f>D16/D5</f>
        <v>9.2758666845134521E-2</v>
      </c>
      <c r="E17" s="505">
        <f>D17</f>
        <v>9.2758666845134521E-2</v>
      </c>
      <c r="F17" s="280"/>
      <c r="G17" s="280"/>
      <c r="H17" s="280"/>
      <c r="I17" s="280"/>
      <c r="J17" s="280"/>
      <c r="K17" s="280"/>
    </row>
    <row r="18" spans="1:11">
      <c r="A18" s="122" t="s">
        <v>123</v>
      </c>
      <c r="B18" s="122"/>
      <c r="C18" s="139"/>
      <c r="D18" s="487">
        <f>D14-D16</f>
        <v>15488</v>
      </c>
      <c r="E18" s="487">
        <f>E14-E16</f>
        <v>15619.647999999997</v>
      </c>
      <c r="F18" s="280"/>
      <c r="G18" s="280"/>
      <c r="H18" s="280"/>
      <c r="I18" s="280"/>
      <c r="J18" s="280"/>
      <c r="K18" s="280"/>
    </row>
    <row r="19" spans="1:11">
      <c r="A19" s="119"/>
      <c r="B19" s="145" t="s">
        <v>124</v>
      </c>
      <c r="C19" s="145"/>
      <c r="D19" s="505">
        <f>D18/D5</f>
        <v>0.25913532324989963</v>
      </c>
      <c r="E19" s="505">
        <f>E18/E5</f>
        <v>0.25913532324989957</v>
      </c>
      <c r="F19" s="280"/>
      <c r="G19" s="280"/>
      <c r="H19" s="280"/>
      <c r="I19" s="280"/>
      <c r="J19" s="280"/>
      <c r="K19" s="280"/>
    </row>
    <row r="20" spans="1:11">
      <c r="A20" s="122" t="s">
        <v>315</v>
      </c>
      <c r="B20" s="145"/>
      <c r="C20" s="145"/>
      <c r="D20" s="291">
        <v>-104</v>
      </c>
      <c r="E20" s="291">
        <f>D20</f>
        <v>-104</v>
      </c>
      <c r="F20" s="280"/>
      <c r="G20" s="280"/>
      <c r="H20" s="280"/>
      <c r="I20" s="280"/>
      <c r="J20" s="280"/>
      <c r="K20" s="280"/>
    </row>
    <row r="21" spans="1:11">
      <c r="A21" s="122" t="s">
        <v>316</v>
      </c>
      <c r="B21" s="119"/>
      <c r="C21" s="489"/>
      <c r="D21" s="291">
        <v>-329</v>
      </c>
      <c r="E21" s="291">
        <f>D21</f>
        <v>-329</v>
      </c>
      <c r="F21" s="280"/>
      <c r="G21" s="280"/>
      <c r="H21" s="280"/>
      <c r="I21" s="280"/>
      <c r="J21" s="280"/>
      <c r="K21" s="280"/>
    </row>
    <row r="22" spans="1:11">
      <c r="A22" s="122" t="s">
        <v>127</v>
      </c>
      <c r="B22" s="119"/>
      <c r="C22" s="145"/>
      <c r="D22" s="488"/>
      <c r="E22" s="488"/>
      <c r="F22" s="280"/>
      <c r="G22" s="280"/>
      <c r="H22" s="280"/>
      <c r="I22" s="280"/>
      <c r="J22" s="280"/>
      <c r="K22" s="280"/>
    </row>
    <row r="23" spans="1:11">
      <c r="A23" s="119"/>
      <c r="B23" s="119" t="s">
        <v>128</v>
      </c>
      <c r="C23" s="119"/>
      <c r="D23" s="493">
        <f>5100+995</f>
        <v>6095</v>
      </c>
      <c r="E23" s="490">
        <f>D23</f>
        <v>6095</v>
      </c>
      <c r="F23" s="280"/>
      <c r="G23" s="280"/>
      <c r="H23" s="280"/>
      <c r="I23" s="280"/>
      <c r="J23" s="280"/>
      <c r="K23" s="280"/>
    </row>
    <row r="24" spans="1:11">
      <c r="A24" s="119"/>
      <c r="B24" s="119" t="s">
        <v>206</v>
      </c>
      <c r="C24" s="119"/>
      <c r="D24" s="291">
        <v>-742</v>
      </c>
      <c r="E24" s="291">
        <f>D24</f>
        <v>-742</v>
      </c>
      <c r="F24" s="280"/>
      <c r="G24" s="280"/>
      <c r="H24" s="280"/>
      <c r="I24" s="280"/>
      <c r="J24" s="280"/>
      <c r="K24" s="280"/>
    </row>
    <row r="25" spans="1:11">
      <c r="A25" s="119"/>
      <c r="B25" s="122" t="s">
        <v>317</v>
      </c>
      <c r="C25" s="119"/>
      <c r="D25" s="293">
        <f>D23+D24</f>
        <v>5353</v>
      </c>
      <c r="E25" s="293">
        <f>E23+E24</f>
        <v>5353</v>
      </c>
      <c r="F25" s="280"/>
      <c r="G25" s="119"/>
      <c r="H25" s="119"/>
      <c r="I25" s="280"/>
      <c r="J25" s="280"/>
      <c r="K25" s="280"/>
    </row>
    <row r="26" spans="1:11">
      <c r="A26" s="122" t="s">
        <v>318</v>
      </c>
      <c r="B26" s="122"/>
      <c r="C26" s="119"/>
      <c r="D26" s="487">
        <f>D18-D20-D21-D25</f>
        <v>10568</v>
      </c>
      <c r="E26" s="487">
        <f>E18-E20-E21-E25</f>
        <v>10699.647999999997</v>
      </c>
      <c r="F26" s="280"/>
      <c r="G26" s="280"/>
      <c r="H26" s="119"/>
      <c r="I26" s="280"/>
      <c r="J26" s="280"/>
      <c r="K26" s="280"/>
    </row>
    <row r="27" spans="1:11">
      <c r="A27" s="119"/>
      <c r="B27" s="145" t="s">
        <v>319</v>
      </c>
      <c r="C27" s="488"/>
      <c r="D27" s="492">
        <f>D26/D5</f>
        <v>0.17681702583322179</v>
      </c>
      <c r="E27" s="492">
        <f>E26/E5</f>
        <v>0.17751083399191461</v>
      </c>
      <c r="F27" s="280"/>
      <c r="G27" s="280"/>
      <c r="H27" s="280"/>
      <c r="I27" s="280"/>
      <c r="J27" s="280"/>
      <c r="K27" s="280"/>
    </row>
    <row r="28" spans="1:11">
      <c r="A28" s="119" t="s">
        <v>320</v>
      </c>
      <c r="B28" s="119"/>
      <c r="C28" s="119"/>
      <c r="D28" s="490">
        <v>3152</v>
      </c>
      <c r="E28" s="490">
        <f>E29*E26</f>
        <v>3191.26518697956</v>
      </c>
      <c r="F28" s="280"/>
      <c r="G28" s="280"/>
      <c r="H28" s="280"/>
      <c r="I28" s="280"/>
      <c r="J28" s="280"/>
      <c r="K28" s="280"/>
    </row>
    <row r="29" spans="1:11">
      <c r="A29" s="119"/>
      <c r="B29" s="145" t="s">
        <v>321</v>
      </c>
      <c r="C29" s="488"/>
      <c r="D29" s="288">
        <f>D28/D26</f>
        <v>0.29825889477668432</v>
      </c>
      <c r="E29" s="492">
        <f>D29</f>
        <v>0.29825889477668432</v>
      </c>
      <c r="F29" s="280"/>
      <c r="G29" s="280"/>
      <c r="H29" s="280"/>
      <c r="I29" s="280"/>
      <c r="J29" s="280"/>
      <c r="K29" s="280"/>
    </row>
    <row r="30" spans="1:11">
      <c r="A30" s="122" t="s">
        <v>135</v>
      </c>
      <c r="B30" s="119"/>
      <c r="C30" s="119"/>
      <c r="D30" s="494">
        <f>D26-D28</f>
        <v>7416</v>
      </c>
      <c r="E30" s="494">
        <f>E26-E28</f>
        <v>7508.3828130204374</v>
      </c>
      <c r="F30" s="280"/>
      <c r="G30" s="280"/>
      <c r="H30" s="280"/>
      <c r="I30" s="280"/>
      <c r="J30" s="280"/>
      <c r="K30" s="280"/>
    </row>
    <row r="31" spans="1:11">
      <c r="A31" s="122" t="s">
        <v>136</v>
      </c>
      <c r="B31" s="119"/>
      <c r="C31" s="119"/>
      <c r="D31" s="501">
        <v>1561</v>
      </c>
      <c r="E31" s="501">
        <v>1561</v>
      </c>
      <c r="F31" s="280"/>
      <c r="G31" s="280"/>
      <c r="H31" s="280"/>
      <c r="I31" s="280"/>
      <c r="J31" s="280"/>
      <c r="K31" s="280"/>
    </row>
    <row r="32" spans="1:11">
      <c r="A32" s="122" t="s">
        <v>137</v>
      </c>
      <c r="B32" s="119"/>
      <c r="C32" s="119"/>
      <c r="D32" s="489"/>
      <c r="E32" s="489"/>
      <c r="F32" s="280"/>
      <c r="G32" s="280"/>
      <c r="H32" s="280"/>
      <c r="I32" s="280"/>
      <c r="J32" s="280"/>
      <c r="K32" s="280"/>
    </row>
    <row r="33" spans="1:11">
      <c r="A33" s="122"/>
      <c r="B33" s="119" t="s">
        <v>138</v>
      </c>
      <c r="C33" s="119"/>
      <c r="D33" s="495">
        <v>0</v>
      </c>
      <c r="E33" s="495">
        <v>0</v>
      </c>
      <c r="F33" s="280"/>
      <c r="G33" s="280"/>
      <c r="H33" s="280"/>
      <c r="I33" s="280"/>
      <c r="J33" s="280"/>
      <c r="K33" s="280"/>
    </row>
    <row r="34" spans="1:11">
      <c r="A34" s="122"/>
      <c r="B34" s="119" t="s">
        <v>139</v>
      </c>
      <c r="C34" s="119"/>
      <c r="D34" s="495">
        <v>0</v>
      </c>
      <c r="E34" s="495">
        <v>0</v>
      </c>
      <c r="F34" s="280"/>
      <c r="G34" s="280"/>
      <c r="H34" s="280"/>
      <c r="I34" s="280"/>
      <c r="J34" s="280"/>
      <c r="K34" s="280"/>
    </row>
    <row r="35" spans="1:11">
      <c r="A35" s="122"/>
      <c r="B35" s="119" t="s">
        <v>140</v>
      </c>
      <c r="C35" s="119"/>
      <c r="D35" s="495">
        <v>0</v>
      </c>
      <c r="E35" s="495">
        <v>0</v>
      </c>
      <c r="F35" s="280"/>
      <c r="G35" s="280"/>
      <c r="H35" s="280"/>
      <c r="I35" s="280"/>
      <c r="J35" s="280"/>
      <c r="K35" s="280"/>
    </row>
    <row r="36" spans="1:11">
      <c r="A36" s="122"/>
      <c r="B36" s="119" t="s">
        <v>141</v>
      </c>
      <c r="C36" s="119"/>
      <c r="D36" s="495">
        <v>0</v>
      </c>
      <c r="E36" s="495">
        <v>0</v>
      </c>
      <c r="F36" s="280"/>
      <c r="G36" s="280"/>
      <c r="H36" s="280"/>
      <c r="I36" s="280"/>
      <c r="J36" s="280"/>
      <c r="K36" s="280"/>
    </row>
    <row r="37" spans="1:11">
      <c r="A37" s="122"/>
      <c r="B37" s="119" t="s">
        <v>63</v>
      </c>
      <c r="C37" s="119"/>
      <c r="D37" s="496">
        <v>0</v>
      </c>
      <c r="E37" s="496">
        <v>0</v>
      </c>
      <c r="F37" s="280"/>
      <c r="G37" s="280"/>
      <c r="H37" s="280"/>
      <c r="I37" s="280"/>
      <c r="J37" s="280"/>
      <c r="K37" s="280"/>
    </row>
    <row r="38" spans="1:11">
      <c r="A38" s="122"/>
      <c r="B38" s="122" t="s">
        <v>142</v>
      </c>
      <c r="C38" s="119"/>
      <c r="D38" s="497">
        <v>0</v>
      </c>
      <c r="E38" s="497">
        <v>0</v>
      </c>
      <c r="F38" s="280"/>
      <c r="G38" s="280"/>
      <c r="H38" s="280"/>
      <c r="I38" s="280"/>
      <c r="J38" s="280"/>
      <c r="K38" s="280"/>
    </row>
    <row r="39" spans="1:11">
      <c r="A39" s="122"/>
      <c r="B39" s="122" t="s">
        <v>143</v>
      </c>
      <c r="C39" s="139"/>
      <c r="D39" s="487">
        <f>D30-D31</f>
        <v>5855</v>
      </c>
      <c r="E39" s="487">
        <f>E30-E31</f>
        <v>5947.3828130204374</v>
      </c>
      <c r="F39" s="280"/>
      <c r="G39" s="280"/>
      <c r="H39" s="280"/>
      <c r="I39" s="280"/>
      <c r="J39" s="280"/>
      <c r="K39" s="280"/>
    </row>
    <row r="40" spans="1:11">
      <c r="A40" s="122"/>
      <c r="B40" s="119" t="s">
        <v>141</v>
      </c>
      <c r="C40" s="119"/>
      <c r="D40" s="495">
        <v>0</v>
      </c>
      <c r="E40" s="495">
        <v>0</v>
      </c>
      <c r="F40" s="280"/>
      <c r="G40" s="280"/>
      <c r="H40" s="280"/>
      <c r="I40" s="280"/>
      <c r="J40" s="280"/>
      <c r="K40" s="280"/>
    </row>
    <row r="41" spans="1:11">
      <c r="A41" s="122"/>
      <c r="B41" s="119" t="s">
        <v>144</v>
      </c>
      <c r="C41" s="145"/>
      <c r="D41" s="496">
        <v>0</v>
      </c>
      <c r="E41" s="496">
        <v>0</v>
      </c>
      <c r="F41" s="280"/>
      <c r="G41" s="280"/>
      <c r="H41" s="280"/>
      <c r="I41" s="280"/>
      <c r="J41" s="280"/>
      <c r="K41" s="280"/>
    </row>
    <row r="42" spans="1:11">
      <c r="A42" s="122"/>
      <c r="B42" s="119"/>
      <c r="C42" s="145" t="s">
        <v>145</v>
      </c>
      <c r="D42" s="498">
        <v>0</v>
      </c>
      <c r="E42" s="498">
        <v>0</v>
      </c>
      <c r="F42" s="280"/>
      <c r="G42" s="280"/>
      <c r="H42" s="280"/>
      <c r="I42" s="280"/>
      <c r="J42" s="280"/>
      <c r="K42" s="280"/>
    </row>
    <row r="43" spans="1:11">
      <c r="A43" s="122" t="s">
        <v>146</v>
      </c>
      <c r="B43" s="119"/>
      <c r="C43" s="119"/>
      <c r="D43" s="499">
        <f>D39</f>
        <v>5855</v>
      </c>
      <c r="E43" s="499">
        <f>E39</f>
        <v>5947.3828130204374</v>
      </c>
      <c r="F43" s="280"/>
      <c r="G43" s="280"/>
      <c r="H43" s="280"/>
      <c r="I43" s="280"/>
      <c r="J43" s="280"/>
      <c r="K43" s="280"/>
    </row>
    <row r="44" spans="1:11">
      <c r="A44" s="122" t="s">
        <v>147</v>
      </c>
      <c r="B44" s="119"/>
      <c r="C44" s="119"/>
      <c r="D44" s="121"/>
      <c r="E44" s="121"/>
      <c r="F44" s="280"/>
      <c r="G44" s="280"/>
      <c r="H44" s="280"/>
      <c r="I44" s="280"/>
      <c r="J44" s="280"/>
      <c r="K44" s="280"/>
    </row>
    <row r="45" spans="1:11">
      <c r="A45" s="122"/>
      <c r="B45" s="119" t="s">
        <v>148</v>
      </c>
      <c r="C45" s="119"/>
      <c r="D45" s="500">
        <f>D43/D48</f>
        <v>2.9231153270094858</v>
      </c>
      <c r="E45" s="500">
        <f>E43/E48</f>
        <v>2.9283027144364535</v>
      </c>
      <c r="F45" s="280"/>
      <c r="G45" s="280"/>
      <c r="H45" s="280"/>
      <c r="I45" s="280"/>
      <c r="J45" s="280"/>
      <c r="K45" s="280"/>
    </row>
    <row r="46" spans="1:11">
      <c r="A46" s="122"/>
      <c r="B46" s="119" t="s">
        <v>149</v>
      </c>
      <c r="C46" s="119"/>
      <c r="D46" s="500">
        <f>D43/D49</f>
        <v>2.8644814090019568</v>
      </c>
      <c r="E46" s="500">
        <f>E43/E49</f>
        <v>2.9211114012870518</v>
      </c>
      <c r="F46" s="280"/>
      <c r="G46" s="280"/>
      <c r="H46" s="280"/>
      <c r="I46" s="280"/>
      <c r="J46" s="280"/>
      <c r="K46" s="280"/>
    </row>
    <row r="47" spans="1:11">
      <c r="A47" s="122" t="s">
        <v>151</v>
      </c>
      <c r="B47" s="119"/>
      <c r="C47" s="119"/>
      <c r="D47" s="121"/>
      <c r="E47" s="121"/>
      <c r="F47" s="280"/>
      <c r="G47" s="280"/>
      <c r="H47" s="280"/>
      <c r="I47" s="280"/>
      <c r="J47" s="280"/>
      <c r="K47" s="280"/>
    </row>
    <row r="48" spans="1:11">
      <c r="A48" s="122"/>
      <c r="B48" s="119" t="s">
        <v>148</v>
      </c>
      <c r="C48" s="119"/>
      <c r="D48" s="501">
        <v>2003</v>
      </c>
      <c r="E48" s="501">
        <v>2031</v>
      </c>
      <c r="F48" s="280"/>
      <c r="G48" s="280"/>
      <c r="H48" s="280"/>
      <c r="I48" s="280"/>
      <c r="J48" s="280"/>
      <c r="K48" s="280"/>
    </row>
    <row r="49" spans="1:11">
      <c r="A49" s="122"/>
      <c r="B49" s="119" t="s">
        <v>149</v>
      </c>
      <c r="C49" s="119"/>
      <c r="D49" s="501">
        <v>2044</v>
      </c>
      <c r="E49" s="501">
        <v>2036</v>
      </c>
      <c r="F49" s="280"/>
      <c r="G49" s="280"/>
      <c r="H49" s="280"/>
      <c r="I49" s="280"/>
      <c r="J49" s="280"/>
      <c r="K49" s="280"/>
    </row>
    <row r="50" spans="1:11">
      <c r="A50" s="280"/>
      <c r="B50" s="280"/>
      <c r="C50" s="280"/>
      <c r="D50" s="280"/>
      <c r="E50" s="280"/>
      <c r="F50" s="280"/>
      <c r="G50" s="280"/>
      <c r="H50" s="280"/>
      <c r="I50" s="280"/>
      <c r="J50" s="280"/>
      <c r="K50" s="280"/>
    </row>
    <row r="51" spans="1:11">
      <c r="A51" s="280"/>
      <c r="B51" s="280"/>
      <c r="C51" s="280"/>
      <c r="D51" s="280"/>
      <c r="E51" s="280"/>
      <c r="F51" s="280"/>
      <c r="G51" s="280"/>
      <c r="H51" s="280"/>
      <c r="I51" s="280"/>
      <c r="J51" s="280"/>
      <c r="K51" s="280"/>
    </row>
    <row r="52" spans="1:11">
      <c r="A52" s="280"/>
      <c r="B52" s="280"/>
      <c r="C52" s="280"/>
      <c r="D52" s="280"/>
      <c r="E52" s="280"/>
      <c r="F52" s="280"/>
      <c r="G52" s="280"/>
      <c r="H52" s="280"/>
      <c r="I52" s="280"/>
      <c r="J52" s="280"/>
      <c r="K52" s="280"/>
    </row>
    <row r="53" spans="1:11">
      <c r="A53" s="547" t="s">
        <v>322</v>
      </c>
      <c r="B53" s="548"/>
      <c r="C53" s="548"/>
      <c r="D53" s="549"/>
      <c r="E53" s="280"/>
      <c r="F53" s="280"/>
      <c r="G53" s="280"/>
      <c r="H53" s="280"/>
      <c r="I53" s="280"/>
      <c r="J53" s="280"/>
      <c r="K53" s="280"/>
    </row>
    <row r="54" spans="1:11">
      <c r="A54" s="294" t="s">
        <v>323</v>
      </c>
      <c r="B54" s="294"/>
      <c r="C54" s="294"/>
      <c r="D54" s="296">
        <v>66.010000000000005</v>
      </c>
      <c r="E54" s="280"/>
      <c r="F54" s="280"/>
      <c r="G54" s="280"/>
      <c r="H54" s="280"/>
      <c r="I54" s="280"/>
      <c r="J54" s="280"/>
      <c r="K54" s="280"/>
    </row>
    <row r="55" spans="1:11">
      <c r="A55" s="297" t="s">
        <v>324</v>
      </c>
      <c r="B55" s="297"/>
      <c r="C55" s="298"/>
      <c r="D55" s="310">
        <v>2036</v>
      </c>
      <c r="E55" s="280" t="s">
        <v>325</v>
      </c>
      <c r="F55" s="280"/>
      <c r="G55" s="280"/>
      <c r="H55" s="280"/>
      <c r="I55" s="280"/>
      <c r="J55" s="280"/>
      <c r="K55" s="280"/>
    </row>
    <row r="56" spans="1:11">
      <c r="A56" s="301" t="s">
        <v>326</v>
      </c>
      <c r="B56" s="302"/>
      <c r="C56" s="302"/>
      <c r="D56" s="303">
        <f>D54*D55</f>
        <v>134396.36000000002</v>
      </c>
      <c r="E56" s="280"/>
      <c r="F56" s="280"/>
      <c r="G56" s="280"/>
      <c r="H56" s="280"/>
      <c r="I56" s="280"/>
      <c r="J56" s="280"/>
      <c r="K56" s="280"/>
    </row>
    <row r="57" spans="1:11">
      <c r="A57" s="294" t="s">
        <v>327</v>
      </c>
      <c r="B57" s="294"/>
      <c r="C57" s="294"/>
      <c r="D57" s="304">
        <v>1449</v>
      </c>
      <c r="E57" s="280"/>
      <c r="F57" s="280"/>
      <c r="G57" s="280"/>
      <c r="H57" s="280"/>
      <c r="I57" s="280"/>
      <c r="J57" s="280"/>
      <c r="K57" s="280"/>
    </row>
    <row r="58" spans="1:11">
      <c r="A58" s="294" t="s">
        <v>328</v>
      </c>
      <c r="B58" s="294"/>
      <c r="C58" s="294"/>
      <c r="D58" s="304">
        <v>70720</v>
      </c>
      <c r="E58" s="280"/>
      <c r="F58" s="280"/>
      <c r="G58" s="280"/>
      <c r="H58" s="280"/>
      <c r="I58" s="280"/>
      <c r="J58" s="280"/>
      <c r="K58" s="280"/>
    </row>
    <row r="59" spans="1:11">
      <c r="A59" s="294" t="s">
        <v>329</v>
      </c>
      <c r="B59" s="294"/>
      <c r="C59" s="294"/>
      <c r="D59" s="304">
        <v>0</v>
      </c>
      <c r="E59" s="280"/>
      <c r="F59" s="280"/>
      <c r="G59" s="280"/>
      <c r="H59" s="280"/>
      <c r="I59" s="280"/>
      <c r="J59" s="280"/>
      <c r="K59" s="280"/>
    </row>
    <row r="60" spans="1:11">
      <c r="A60" s="294" t="s">
        <v>330</v>
      </c>
      <c r="B60" s="294"/>
      <c r="C60" s="294"/>
      <c r="D60" s="295">
        <v>0</v>
      </c>
      <c r="E60" s="280"/>
      <c r="F60" s="280"/>
      <c r="G60" s="280"/>
      <c r="H60" s="280"/>
      <c r="I60" s="280"/>
      <c r="J60" s="280"/>
      <c r="K60" s="280"/>
    </row>
    <row r="61" spans="1:11">
      <c r="A61" s="294" t="s">
        <v>331</v>
      </c>
      <c r="B61" s="294"/>
      <c r="C61" s="294"/>
      <c r="D61" s="295">
        <v>0</v>
      </c>
      <c r="E61" s="280"/>
      <c r="F61" s="280"/>
      <c r="G61" s="280"/>
      <c r="H61" s="280"/>
      <c r="I61" s="280"/>
      <c r="J61" s="280"/>
      <c r="K61" s="280"/>
    </row>
    <row r="62" spans="1:11">
      <c r="A62" s="294" t="s">
        <v>332</v>
      </c>
      <c r="B62" s="294"/>
      <c r="C62" s="294"/>
      <c r="D62" s="304">
        <v>1561</v>
      </c>
      <c r="E62" s="280"/>
      <c r="F62" s="280"/>
      <c r="G62" s="280"/>
      <c r="H62" s="280"/>
      <c r="I62" s="280"/>
      <c r="J62" s="280"/>
      <c r="K62" s="280"/>
    </row>
    <row r="63" spans="1:11">
      <c r="A63" s="294" t="s">
        <v>333</v>
      </c>
      <c r="B63" s="294"/>
      <c r="C63" s="294"/>
      <c r="D63" s="304">
        <v>-11174</v>
      </c>
      <c r="E63" s="280"/>
      <c r="F63" s="280"/>
      <c r="G63" s="280"/>
      <c r="H63" s="280"/>
      <c r="I63" s="280"/>
      <c r="J63" s="280"/>
      <c r="K63" s="280"/>
    </row>
    <row r="64" spans="1:11">
      <c r="A64" s="301" t="s">
        <v>296</v>
      </c>
      <c r="B64" s="305"/>
      <c r="C64" s="305"/>
      <c r="D64" s="306">
        <f>SUM(D56:D63)</f>
        <v>196952.36000000002</v>
      </c>
      <c r="E64" s="280"/>
      <c r="F64" s="280"/>
      <c r="G64" s="280"/>
      <c r="H64" s="280"/>
      <c r="I64" s="280"/>
      <c r="J64" s="280"/>
      <c r="K64" s="280"/>
    </row>
  </sheetData>
  <mergeCells count="1">
    <mergeCell ref="A53:D53"/>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53372-56FC-444F-AA90-AB355B6C9D41}">
  <dimension ref="A1:K64"/>
  <sheetViews>
    <sheetView topLeftCell="A43" workbookViewId="0">
      <selection activeCell="D58" sqref="D58"/>
    </sheetView>
  </sheetViews>
  <sheetFormatPr baseColWidth="10" defaultColWidth="8.83203125" defaultRowHeight="15"/>
  <cols>
    <col min="3" max="3" width="29.6640625" customWidth="1"/>
    <col min="4" max="4" width="15.33203125" customWidth="1"/>
    <col min="5" max="5" width="11.1640625" customWidth="1"/>
    <col min="7" max="7" width="10.83203125" customWidth="1"/>
  </cols>
  <sheetData>
    <row r="1" spans="1:11">
      <c r="A1" s="131" t="s">
        <v>360</v>
      </c>
      <c r="B1" s="486"/>
      <c r="C1" s="131"/>
      <c r="D1" s="131"/>
      <c r="E1" s="131"/>
      <c r="F1" s="446"/>
      <c r="G1" s="446"/>
      <c r="H1" s="446"/>
      <c r="I1" s="446"/>
      <c r="J1" s="446"/>
      <c r="K1" s="446"/>
    </row>
    <row r="2" spans="1:11">
      <c r="A2" s="132" t="s">
        <v>361</v>
      </c>
      <c r="B2" s="132"/>
      <c r="C2" s="132"/>
      <c r="D2" s="133"/>
      <c r="E2" s="135" t="s">
        <v>2</v>
      </c>
      <c r="F2" s="446"/>
      <c r="G2" s="286"/>
      <c r="H2" s="286"/>
      <c r="I2" s="446"/>
      <c r="J2" s="446"/>
      <c r="K2" s="446"/>
    </row>
    <row r="3" spans="1:11">
      <c r="A3" s="132"/>
      <c r="B3" s="132"/>
      <c r="C3" s="132"/>
      <c r="D3" s="137"/>
      <c r="E3" s="137"/>
      <c r="F3" s="446"/>
      <c r="G3" s="446"/>
      <c r="H3" s="446"/>
      <c r="I3" s="446"/>
      <c r="J3" s="446"/>
      <c r="K3" s="446"/>
    </row>
    <row r="4" spans="1:11">
      <c r="A4" s="133"/>
      <c r="B4" s="136"/>
      <c r="C4" s="138"/>
      <c r="D4" s="138" t="s">
        <v>6</v>
      </c>
      <c r="E4" s="138" t="s">
        <v>7</v>
      </c>
      <c r="F4" s="446"/>
      <c r="G4" s="446"/>
      <c r="H4" s="446"/>
      <c r="I4" s="446"/>
      <c r="J4" s="446"/>
      <c r="K4" s="446"/>
    </row>
    <row r="5" spans="1:11">
      <c r="A5" s="122" t="s">
        <v>106</v>
      </c>
      <c r="B5" s="119"/>
      <c r="C5" s="139"/>
      <c r="D5" s="287">
        <v>2338385</v>
      </c>
      <c r="E5" s="487">
        <f>D5*(1+E6)</f>
        <v>2371122.39</v>
      </c>
      <c r="F5" s="280"/>
      <c r="G5" s="280"/>
      <c r="H5" s="280"/>
      <c r="I5" s="280"/>
      <c r="J5" s="280"/>
      <c r="K5" s="280"/>
    </row>
    <row r="6" spans="1:11">
      <c r="A6" s="119"/>
      <c r="B6" s="119"/>
      <c r="C6" s="488" t="s">
        <v>307</v>
      </c>
      <c r="D6" s="488"/>
      <c r="E6" s="288">
        <v>1.4E-2</v>
      </c>
      <c r="F6" s="280"/>
      <c r="G6" s="280"/>
      <c r="H6" s="280"/>
      <c r="I6" s="280"/>
      <c r="J6" s="280"/>
      <c r="K6" s="280"/>
    </row>
    <row r="7" spans="1:11">
      <c r="A7" s="122"/>
      <c r="B7" s="119"/>
      <c r="C7" s="488"/>
      <c r="D7" s="488"/>
      <c r="E7" s="488"/>
      <c r="F7" s="280"/>
      <c r="G7" s="280"/>
      <c r="H7" s="280"/>
      <c r="I7" s="280"/>
      <c r="J7" s="280"/>
      <c r="K7" s="280"/>
    </row>
    <row r="8" spans="1:11">
      <c r="A8" s="122" t="s">
        <v>308</v>
      </c>
      <c r="B8" s="122"/>
      <c r="C8" s="489"/>
      <c r="D8" s="290">
        <f>1272430-D16</f>
        <v>1176728</v>
      </c>
      <c r="E8" s="490">
        <f>E9*E5</f>
        <v>1193202.1920000003</v>
      </c>
      <c r="F8" s="280"/>
      <c r="G8" s="280"/>
      <c r="H8" s="280"/>
      <c r="I8" s="280"/>
      <c r="J8" s="280"/>
      <c r="K8" s="280"/>
    </row>
    <row r="9" spans="1:11">
      <c r="A9" s="119"/>
      <c r="B9" s="145" t="s">
        <v>309</v>
      </c>
      <c r="C9" s="488"/>
      <c r="D9" s="491">
        <f>D8/D5</f>
        <v>0.50322252323719152</v>
      </c>
      <c r="E9" s="491">
        <f>D9</f>
        <v>0.50322252323719152</v>
      </c>
      <c r="F9" s="280"/>
      <c r="G9" s="280"/>
      <c r="H9" s="280"/>
      <c r="I9" s="280"/>
      <c r="J9" s="280"/>
      <c r="K9" s="280"/>
    </row>
    <row r="10" spans="1:11">
      <c r="A10" s="122" t="s">
        <v>310</v>
      </c>
      <c r="B10" s="122"/>
      <c r="C10" s="139"/>
      <c r="D10" s="487">
        <f>D5-D8</f>
        <v>1161657</v>
      </c>
      <c r="E10" s="487">
        <f>E5-E8</f>
        <v>1177920.1979999999</v>
      </c>
      <c r="F10" s="280"/>
      <c r="G10" s="280"/>
      <c r="H10" s="280"/>
      <c r="I10" s="280"/>
      <c r="J10" s="280"/>
      <c r="K10" s="280"/>
    </row>
    <row r="11" spans="1:11">
      <c r="A11" s="119"/>
      <c r="B11" s="145" t="s">
        <v>311</v>
      </c>
      <c r="C11" s="488"/>
      <c r="D11" s="492">
        <f>D10/D5</f>
        <v>0.49677747676280853</v>
      </c>
      <c r="E11" s="492">
        <f>E10/E5</f>
        <v>0.49677747676280842</v>
      </c>
      <c r="F11" s="280"/>
      <c r="G11" s="280"/>
      <c r="H11" s="280"/>
      <c r="I11" s="280"/>
      <c r="J11" s="280"/>
      <c r="K11" s="280"/>
    </row>
    <row r="12" spans="1:11">
      <c r="A12" s="122" t="s">
        <v>154</v>
      </c>
      <c r="B12" s="119"/>
      <c r="C12" s="119"/>
      <c r="D12" s="493">
        <f>854987-16145+101773</f>
        <v>940615</v>
      </c>
      <c r="E12" s="490">
        <f>E13*E5</f>
        <v>953783.6100000001</v>
      </c>
      <c r="F12" s="280"/>
      <c r="G12" s="280"/>
      <c r="H12" s="280"/>
      <c r="I12" s="280"/>
      <c r="J12" s="280"/>
      <c r="K12" s="280"/>
    </row>
    <row r="13" spans="1:11">
      <c r="A13" s="119"/>
      <c r="B13" s="145" t="s">
        <v>312</v>
      </c>
      <c r="C13" s="488"/>
      <c r="D13" s="492">
        <f>D12/D5</f>
        <v>0.40224984337480785</v>
      </c>
      <c r="E13" s="492">
        <f>D13</f>
        <v>0.40224984337480785</v>
      </c>
      <c r="F13" s="280"/>
      <c r="G13" s="280"/>
      <c r="H13" s="280"/>
      <c r="I13" s="280"/>
      <c r="J13" s="280"/>
      <c r="K13" s="280"/>
    </row>
    <row r="14" spans="1:11">
      <c r="A14" s="122" t="s">
        <v>121</v>
      </c>
      <c r="B14" s="122"/>
      <c r="C14" s="139"/>
      <c r="D14" s="487">
        <f>D10-D12</f>
        <v>221042</v>
      </c>
      <c r="E14" s="487">
        <f>E10-E12</f>
        <v>224136.58799999976</v>
      </c>
      <c r="F14" s="280"/>
      <c r="G14" s="280"/>
      <c r="H14" s="280"/>
      <c r="I14" s="280"/>
      <c r="J14" s="280"/>
      <c r="K14" s="280"/>
    </row>
    <row r="15" spans="1:11">
      <c r="A15" s="119"/>
      <c r="B15" s="145" t="s">
        <v>313</v>
      </c>
      <c r="C15" s="488"/>
      <c r="D15" s="504">
        <f>D14/D5</f>
        <v>9.4527633388000687E-2</v>
      </c>
      <c r="E15" s="504">
        <f>E14/E5</f>
        <v>9.452763338800059E-2</v>
      </c>
      <c r="F15" s="280"/>
      <c r="G15" s="280"/>
      <c r="H15" s="280"/>
      <c r="I15" s="280"/>
      <c r="J15" s="280"/>
      <c r="K15" s="280"/>
    </row>
    <row r="16" spans="1:11">
      <c r="A16" s="119" t="s">
        <v>56</v>
      </c>
      <c r="B16" s="119"/>
      <c r="C16" s="119"/>
      <c r="D16" s="290">
        <v>95702</v>
      </c>
      <c r="E16" s="490">
        <f>E17*E5</f>
        <v>97041.828000000009</v>
      </c>
      <c r="F16" s="280"/>
      <c r="G16" s="280"/>
      <c r="H16" s="280"/>
      <c r="I16" s="280"/>
      <c r="J16" s="280"/>
      <c r="K16" s="280"/>
    </row>
    <row r="17" spans="1:11">
      <c r="A17" s="119"/>
      <c r="B17" s="145" t="s">
        <v>314</v>
      </c>
      <c r="C17" s="119"/>
      <c r="D17" s="505">
        <f>D16/D5</f>
        <v>4.0926536904744085E-2</v>
      </c>
      <c r="E17" s="505">
        <f>D17</f>
        <v>4.0926536904744085E-2</v>
      </c>
      <c r="F17" s="280"/>
      <c r="G17" s="280"/>
      <c r="H17" s="280"/>
      <c r="I17" s="280"/>
      <c r="J17" s="280"/>
      <c r="K17" s="280"/>
    </row>
    <row r="18" spans="1:11">
      <c r="A18" s="122" t="s">
        <v>123</v>
      </c>
      <c r="B18" s="122"/>
      <c r="C18" s="139"/>
      <c r="D18" s="487">
        <f>D14-D16</f>
        <v>125340</v>
      </c>
      <c r="E18" s="487">
        <f>E14-E16</f>
        <v>127094.75999999975</v>
      </c>
      <c r="F18" s="280"/>
      <c r="G18" s="280"/>
      <c r="H18" s="280"/>
      <c r="I18" s="280"/>
      <c r="J18" s="280"/>
      <c r="K18" s="280"/>
    </row>
    <row r="19" spans="1:11">
      <c r="A19" s="119"/>
      <c r="B19" s="145" t="s">
        <v>124</v>
      </c>
      <c r="C19" s="145"/>
      <c r="D19" s="505">
        <f>D18/D5</f>
        <v>5.3601096483256609E-2</v>
      </c>
      <c r="E19" s="505">
        <f>E18/E5</f>
        <v>5.3601096483256498E-2</v>
      </c>
      <c r="F19" s="280"/>
      <c r="G19" s="280"/>
      <c r="H19" s="280"/>
      <c r="I19" s="280"/>
      <c r="J19" s="280"/>
      <c r="K19" s="280"/>
    </row>
    <row r="20" spans="1:11">
      <c r="A20" s="122" t="s">
        <v>315</v>
      </c>
      <c r="B20" s="145"/>
      <c r="C20" s="145"/>
      <c r="D20" s="292">
        <f>-37035+19255</f>
        <v>-17780</v>
      </c>
      <c r="E20" s="292">
        <f>D20</f>
        <v>-17780</v>
      </c>
      <c r="F20" s="280"/>
      <c r="G20" s="280"/>
      <c r="H20" s="280"/>
      <c r="I20" s="280"/>
      <c r="J20" s="280"/>
      <c r="K20" s="280"/>
    </row>
    <row r="21" spans="1:11">
      <c r="A21" s="122" t="s">
        <v>316</v>
      </c>
      <c r="B21" s="119"/>
      <c r="C21" s="489"/>
      <c r="D21" s="292">
        <v>0</v>
      </c>
      <c r="E21" s="292">
        <f>D21</f>
        <v>0</v>
      </c>
      <c r="F21" s="280"/>
      <c r="G21" s="380"/>
      <c r="H21" s="280"/>
      <c r="I21" s="280"/>
      <c r="J21" s="280"/>
      <c r="K21" s="280"/>
    </row>
    <row r="22" spans="1:11">
      <c r="A22" s="122" t="s">
        <v>127</v>
      </c>
      <c r="B22" s="119"/>
      <c r="C22" s="145"/>
      <c r="D22" s="488"/>
      <c r="E22" s="488"/>
      <c r="F22" s="280"/>
      <c r="G22" s="280"/>
      <c r="H22" s="280"/>
      <c r="I22" s="280"/>
      <c r="J22" s="280"/>
      <c r="K22" s="280"/>
    </row>
    <row r="23" spans="1:11">
      <c r="A23" s="119"/>
      <c r="B23" s="119" t="s">
        <v>128</v>
      </c>
      <c r="C23" s="119"/>
      <c r="D23" s="493">
        <v>17994</v>
      </c>
      <c r="E23" s="490">
        <f>D23</f>
        <v>17994</v>
      </c>
      <c r="F23" s="280"/>
      <c r="G23" s="280"/>
      <c r="H23" s="280"/>
      <c r="I23" s="280"/>
      <c r="J23" s="280"/>
      <c r="K23" s="280"/>
    </row>
    <row r="24" spans="1:11">
      <c r="A24" s="119"/>
      <c r="B24" s="119" t="s">
        <v>206</v>
      </c>
      <c r="C24" s="119"/>
      <c r="D24" s="292">
        <v>-14595</v>
      </c>
      <c r="E24" s="490">
        <f>D24</f>
        <v>-14595</v>
      </c>
      <c r="F24" s="280"/>
      <c r="G24" s="280"/>
      <c r="H24" s="280"/>
      <c r="I24" s="280"/>
      <c r="J24" s="280"/>
      <c r="K24" s="280"/>
    </row>
    <row r="25" spans="1:11">
      <c r="A25" s="119"/>
      <c r="B25" s="122" t="s">
        <v>317</v>
      </c>
      <c r="C25" s="119"/>
      <c r="D25" s="293">
        <f>D23+D24</f>
        <v>3399</v>
      </c>
      <c r="E25" s="293">
        <f>E23+E24</f>
        <v>3399</v>
      </c>
      <c r="F25" s="280"/>
      <c r="G25" s="119"/>
      <c r="H25" s="119"/>
      <c r="I25" s="280"/>
      <c r="J25" s="280"/>
      <c r="K25" s="280"/>
    </row>
    <row r="26" spans="1:11">
      <c r="A26" s="122" t="s">
        <v>318</v>
      </c>
      <c r="B26" s="122"/>
      <c r="C26" s="119"/>
      <c r="D26" s="487">
        <f>D18-D20-D21-D25</f>
        <v>139721</v>
      </c>
      <c r="E26" s="487">
        <f>E18-E20-E21-E25</f>
        <v>141475.75999999975</v>
      </c>
      <c r="F26" s="280"/>
      <c r="G26" s="280"/>
      <c r="H26" s="119"/>
      <c r="I26" s="280"/>
      <c r="J26" s="280"/>
      <c r="K26" s="280"/>
    </row>
    <row r="27" spans="1:11">
      <c r="A27" s="119"/>
      <c r="B27" s="145" t="s">
        <v>319</v>
      </c>
      <c r="C27" s="488"/>
      <c r="D27" s="492">
        <f>D26/D5</f>
        <v>5.9751067510268839E-2</v>
      </c>
      <c r="E27" s="492">
        <f>E26/E5</f>
        <v>5.9666156667686709E-2</v>
      </c>
      <c r="F27" s="280"/>
      <c r="G27" s="280"/>
      <c r="H27" s="280"/>
      <c r="I27" s="280"/>
      <c r="J27" s="280"/>
      <c r="K27" s="280"/>
    </row>
    <row r="28" spans="1:11">
      <c r="A28" s="119" t="s">
        <v>320</v>
      </c>
      <c r="B28" s="119"/>
      <c r="C28" s="119"/>
      <c r="D28" s="490">
        <v>53910</v>
      </c>
      <c r="E28" s="490">
        <f>E29*E26</f>
        <v>54587.057218313537</v>
      </c>
      <c r="F28" s="280"/>
      <c r="G28" s="280"/>
      <c r="H28" s="280"/>
      <c r="I28" s="280"/>
      <c r="J28" s="280"/>
      <c r="K28" s="280"/>
    </row>
    <row r="29" spans="1:11">
      <c r="A29" s="119"/>
      <c r="B29" s="145" t="s">
        <v>321</v>
      </c>
      <c r="C29" s="488"/>
      <c r="D29" s="288">
        <f>D28/D26</f>
        <v>0.38584035327545607</v>
      </c>
      <c r="E29" s="492">
        <f>D29</f>
        <v>0.38584035327545607</v>
      </c>
      <c r="F29" s="280"/>
      <c r="G29" s="280"/>
      <c r="H29" s="280"/>
      <c r="I29" s="280"/>
      <c r="J29" s="280"/>
      <c r="K29" s="280"/>
    </row>
    <row r="30" spans="1:11">
      <c r="A30" s="122" t="s">
        <v>135</v>
      </c>
      <c r="B30" s="119"/>
      <c r="C30" s="119"/>
      <c r="D30" s="494">
        <f>D26-D28</f>
        <v>85811</v>
      </c>
      <c r="E30" s="494">
        <f>E26-E28</f>
        <v>86888.70278168621</v>
      </c>
      <c r="F30" s="280"/>
      <c r="G30" s="280"/>
      <c r="H30" s="280"/>
      <c r="I30" s="280"/>
      <c r="J30" s="280"/>
      <c r="K30" s="280"/>
    </row>
    <row r="31" spans="1:11">
      <c r="A31" s="122" t="s">
        <v>136</v>
      </c>
      <c r="B31" s="119"/>
      <c r="C31" s="119"/>
      <c r="D31" s="501">
        <v>27597</v>
      </c>
      <c r="E31" s="501">
        <f>D31</f>
        <v>27597</v>
      </c>
      <c r="F31" s="280"/>
      <c r="G31" s="280"/>
      <c r="H31" s="280"/>
      <c r="I31" s="280"/>
      <c r="J31" s="280"/>
      <c r="K31" s="280"/>
    </row>
    <row r="32" spans="1:11">
      <c r="A32" s="122" t="s">
        <v>137</v>
      </c>
      <c r="B32" s="119"/>
      <c r="C32" s="119"/>
      <c r="D32" s="489"/>
      <c r="E32" s="489"/>
      <c r="F32" s="280"/>
      <c r="G32" s="280"/>
      <c r="H32" s="280"/>
      <c r="I32" s="280"/>
      <c r="J32" s="280"/>
      <c r="K32" s="280"/>
    </row>
    <row r="33" spans="1:11">
      <c r="A33" s="122"/>
      <c r="B33" s="119" t="s">
        <v>138</v>
      </c>
      <c r="C33" s="119"/>
      <c r="D33" s="495">
        <v>0</v>
      </c>
      <c r="E33" s="495">
        <v>0</v>
      </c>
      <c r="F33" s="280"/>
      <c r="G33" s="280"/>
      <c r="H33" s="280"/>
      <c r="I33" s="280"/>
      <c r="J33" s="280"/>
      <c r="K33" s="280"/>
    </row>
    <row r="34" spans="1:11">
      <c r="A34" s="122"/>
      <c r="B34" s="119" t="s">
        <v>139</v>
      </c>
      <c r="C34" s="119"/>
      <c r="D34" s="495">
        <v>0</v>
      </c>
      <c r="E34" s="495">
        <v>0</v>
      </c>
      <c r="F34" s="280"/>
      <c r="G34" s="280"/>
      <c r="H34" s="280"/>
      <c r="I34" s="280"/>
      <c r="J34" s="280"/>
      <c r="K34" s="280"/>
    </row>
    <row r="35" spans="1:11">
      <c r="A35" s="122"/>
      <c r="B35" s="119" t="s">
        <v>140</v>
      </c>
      <c r="C35" s="119"/>
      <c r="D35" s="495">
        <v>0</v>
      </c>
      <c r="E35" s="495">
        <v>0</v>
      </c>
      <c r="F35" s="280"/>
      <c r="G35" s="280"/>
      <c r="H35" s="280"/>
      <c r="I35" s="280"/>
      <c r="J35" s="280"/>
      <c r="K35" s="280"/>
    </row>
    <row r="36" spans="1:11">
      <c r="A36" s="122"/>
      <c r="B36" s="119" t="s">
        <v>141</v>
      </c>
      <c r="C36" s="119"/>
      <c r="D36" s="495">
        <v>0</v>
      </c>
      <c r="E36" s="495">
        <v>0</v>
      </c>
      <c r="F36" s="280"/>
      <c r="G36" s="280"/>
      <c r="H36" s="280"/>
      <c r="I36" s="280"/>
      <c r="J36" s="280"/>
      <c r="K36" s="280"/>
    </row>
    <row r="37" spans="1:11">
      <c r="A37" s="122"/>
      <c r="B37" s="119" t="s">
        <v>63</v>
      </c>
      <c r="C37" s="119"/>
      <c r="D37" s="496">
        <v>0</v>
      </c>
      <c r="E37" s="496">
        <v>0</v>
      </c>
      <c r="F37" s="280"/>
      <c r="G37" s="280"/>
      <c r="H37" s="280"/>
      <c r="I37" s="280"/>
      <c r="J37" s="280"/>
      <c r="K37" s="280"/>
    </row>
    <row r="38" spans="1:11">
      <c r="A38" s="122"/>
      <c r="B38" s="122" t="s">
        <v>142</v>
      </c>
      <c r="C38" s="119"/>
      <c r="D38" s="497">
        <v>0</v>
      </c>
      <c r="E38" s="497">
        <v>0</v>
      </c>
      <c r="F38" s="280"/>
      <c r="G38" s="280"/>
      <c r="H38" s="280"/>
      <c r="I38" s="280"/>
      <c r="J38" s="280"/>
      <c r="K38" s="280"/>
    </row>
    <row r="39" spans="1:11">
      <c r="A39" s="122"/>
      <c r="B39" s="122" t="s">
        <v>143</v>
      </c>
      <c r="C39" s="139"/>
      <c r="D39" s="487">
        <f>D30-D31</f>
        <v>58214</v>
      </c>
      <c r="E39" s="487">
        <f>E30-E31</f>
        <v>59291.70278168621</v>
      </c>
      <c r="F39" s="280"/>
      <c r="G39" s="280"/>
      <c r="H39" s="280"/>
      <c r="I39" s="280"/>
      <c r="J39" s="280"/>
      <c r="K39" s="280"/>
    </row>
    <row r="40" spans="1:11">
      <c r="A40" s="122"/>
      <c r="B40" s="119" t="s">
        <v>141</v>
      </c>
      <c r="C40" s="119"/>
      <c r="D40" s="495">
        <v>0</v>
      </c>
      <c r="E40" s="495">
        <v>0</v>
      </c>
      <c r="F40" s="280"/>
      <c r="G40" s="280"/>
      <c r="H40" s="280"/>
      <c r="I40" s="280"/>
      <c r="J40" s="280"/>
      <c r="K40" s="280"/>
    </row>
    <row r="41" spans="1:11">
      <c r="A41" s="122"/>
      <c r="B41" s="119" t="s">
        <v>144</v>
      </c>
      <c r="C41" s="145"/>
      <c r="D41" s="496">
        <v>0</v>
      </c>
      <c r="E41" s="496">
        <v>0</v>
      </c>
      <c r="F41" s="280"/>
      <c r="G41" s="280"/>
      <c r="H41" s="280"/>
      <c r="I41" s="280"/>
      <c r="J41" s="280"/>
      <c r="K41" s="280"/>
    </row>
    <row r="42" spans="1:11">
      <c r="A42" s="122"/>
      <c r="B42" s="119"/>
      <c r="C42" s="145" t="s">
        <v>145</v>
      </c>
      <c r="D42" s="498">
        <v>0</v>
      </c>
      <c r="E42" s="498">
        <v>0</v>
      </c>
      <c r="F42" s="280"/>
      <c r="G42" s="280"/>
      <c r="H42" s="280"/>
      <c r="I42" s="280"/>
      <c r="J42" s="280"/>
      <c r="K42" s="280"/>
    </row>
    <row r="43" spans="1:11">
      <c r="A43" s="122" t="s">
        <v>146</v>
      </c>
      <c r="B43" s="119"/>
      <c r="C43" s="119"/>
      <c r="D43" s="499">
        <f>D39</f>
        <v>58214</v>
      </c>
      <c r="E43" s="499">
        <f>E39</f>
        <v>59291.70278168621</v>
      </c>
      <c r="F43" s="280"/>
      <c r="G43" s="280"/>
      <c r="H43" s="280"/>
      <c r="I43" s="280"/>
      <c r="J43" s="280"/>
      <c r="K43" s="280"/>
    </row>
    <row r="44" spans="1:11">
      <c r="A44" s="122" t="s">
        <v>147</v>
      </c>
      <c r="B44" s="119"/>
      <c r="C44" s="119"/>
      <c r="D44" s="121"/>
      <c r="E44" s="121"/>
      <c r="F44" s="280"/>
      <c r="G44" s="280"/>
      <c r="H44" s="280"/>
      <c r="I44" s="280"/>
      <c r="J44" s="280"/>
      <c r="K44" s="280"/>
    </row>
    <row r="45" spans="1:11">
      <c r="A45" s="122"/>
      <c r="B45" s="119" t="s">
        <v>148</v>
      </c>
      <c r="C45" s="119"/>
      <c r="D45" s="500">
        <f>D43/D48</f>
        <v>71.874459836531102</v>
      </c>
      <c r="E45" s="500">
        <f>E43/E48</f>
        <v>73.20505566052573</v>
      </c>
      <c r="F45" s="280"/>
      <c r="G45" s="280"/>
      <c r="H45" s="280"/>
      <c r="I45" s="280"/>
      <c r="J45" s="280"/>
      <c r="K45" s="280"/>
    </row>
    <row r="46" spans="1:11">
      <c r="A46" s="122"/>
      <c r="B46" s="119" t="s">
        <v>149</v>
      </c>
      <c r="C46" s="119"/>
      <c r="D46" s="500">
        <f>D43/D49</f>
        <v>71.874459836531102</v>
      </c>
      <c r="E46" s="500">
        <f>E43/E49</f>
        <v>73.20505566052573</v>
      </c>
      <c r="F46" s="280"/>
      <c r="G46" s="280"/>
      <c r="H46" s="280"/>
      <c r="I46" s="280"/>
      <c r="J46" s="280"/>
      <c r="K46" s="280"/>
    </row>
    <row r="47" spans="1:11">
      <c r="A47" s="122" t="s">
        <v>151</v>
      </c>
      <c r="B47" s="119"/>
      <c r="C47" s="119"/>
      <c r="D47" s="121"/>
      <c r="E47" s="121"/>
      <c r="F47" s="280"/>
      <c r="G47" s="280"/>
      <c r="H47" s="280"/>
      <c r="I47" s="280"/>
      <c r="J47" s="280"/>
      <c r="K47" s="280"/>
    </row>
    <row r="48" spans="1:11">
      <c r="A48" s="122"/>
      <c r="B48" s="119" t="s">
        <v>148</v>
      </c>
      <c r="C48" s="119"/>
      <c r="D48" s="121">
        <v>809.94</v>
      </c>
      <c r="E48" s="121">
        <f>D48</f>
        <v>809.94</v>
      </c>
      <c r="F48" s="280"/>
      <c r="G48" s="280"/>
      <c r="H48" s="280"/>
      <c r="I48" s="280"/>
      <c r="J48" s="280"/>
      <c r="K48" s="280"/>
    </row>
    <row r="49" spans="1:11">
      <c r="A49" s="122"/>
      <c r="B49" s="119" t="s">
        <v>149</v>
      </c>
      <c r="C49" s="119"/>
      <c r="D49" s="121">
        <v>809.94</v>
      </c>
      <c r="E49" s="121">
        <f>D49</f>
        <v>809.94</v>
      </c>
      <c r="F49" s="280"/>
      <c r="G49" s="280"/>
      <c r="H49" s="280"/>
      <c r="I49" s="280"/>
      <c r="J49" s="280"/>
      <c r="K49" s="280"/>
    </row>
    <row r="50" spans="1:11">
      <c r="A50" s="280"/>
      <c r="B50" s="280"/>
      <c r="C50" s="280"/>
      <c r="D50" s="280"/>
      <c r="E50" s="280"/>
      <c r="F50" s="280"/>
      <c r="G50" s="280"/>
      <c r="H50" s="280"/>
      <c r="I50" s="280"/>
      <c r="J50" s="280"/>
      <c r="K50" s="280"/>
    </row>
    <row r="51" spans="1:11">
      <c r="A51" s="280"/>
      <c r="B51" s="280"/>
      <c r="C51" s="280"/>
      <c r="D51" s="280"/>
      <c r="E51" s="280"/>
      <c r="F51" s="280"/>
      <c r="G51" s="280"/>
      <c r="H51" s="280"/>
      <c r="I51" s="280"/>
      <c r="J51" s="280"/>
      <c r="K51" s="280"/>
    </row>
    <row r="52" spans="1:11">
      <c r="A52" s="280" t="s">
        <v>362</v>
      </c>
      <c r="B52" s="280"/>
      <c r="C52" s="280"/>
      <c r="D52" s="280"/>
      <c r="E52" s="280"/>
      <c r="F52" s="280"/>
      <c r="G52" s="280"/>
      <c r="H52" s="280"/>
      <c r="I52" s="280"/>
      <c r="J52" s="280"/>
      <c r="K52" s="280"/>
    </row>
    <row r="53" spans="1:11">
      <c r="A53" s="547" t="s">
        <v>322</v>
      </c>
      <c r="B53" s="548"/>
      <c r="C53" s="548"/>
      <c r="D53" s="549"/>
      <c r="E53" s="280"/>
      <c r="F53" s="280"/>
      <c r="G53" s="280"/>
      <c r="H53" s="280"/>
      <c r="I53" s="280"/>
      <c r="J53" s="280"/>
      <c r="K53" s="280"/>
    </row>
    <row r="54" spans="1:11">
      <c r="A54" s="294" t="s">
        <v>323</v>
      </c>
      <c r="B54" s="294"/>
      <c r="C54" s="294"/>
      <c r="D54" s="296">
        <f>13</f>
        <v>13</v>
      </c>
      <c r="E54" s="280"/>
      <c r="F54" s="280"/>
      <c r="G54" s="280"/>
      <c r="H54" s="280"/>
      <c r="I54" s="280"/>
      <c r="J54" s="280"/>
      <c r="K54" s="280"/>
    </row>
    <row r="55" spans="1:11">
      <c r="A55" s="297" t="s">
        <v>324</v>
      </c>
      <c r="B55" s="297"/>
      <c r="C55" s="298"/>
      <c r="D55" s="299">
        <f>E49</f>
        <v>809.94</v>
      </c>
      <c r="E55" s="280" t="s">
        <v>325</v>
      </c>
      <c r="F55" s="280"/>
      <c r="G55" s="280"/>
      <c r="H55" s="280"/>
      <c r="I55" s="280"/>
      <c r="J55" s="280"/>
      <c r="K55" s="280"/>
    </row>
    <row r="56" spans="1:11">
      <c r="A56" s="301" t="s">
        <v>326</v>
      </c>
      <c r="B56" s="302"/>
      <c r="C56" s="302"/>
      <c r="D56" s="303">
        <f>D54*D55</f>
        <v>10529.220000000001</v>
      </c>
      <c r="E56" s="280"/>
      <c r="F56" s="280"/>
      <c r="G56" s="280"/>
      <c r="H56" s="280"/>
      <c r="I56" s="280"/>
      <c r="J56" s="280"/>
      <c r="K56" s="280"/>
    </row>
    <row r="57" spans="1:11">
      <c r="A57" s="294" t="s">
        <v>327</v>
      </c>
      <c r="B57" s="294"/>
      <c r="C57" s="294"/>
      <c r="D57" s="381">
        <f>77986/142</f>
        <v>549.19718309859149</v>
      </c>
      <c r="E57" s="280"/>
      <c r="F57" s="280"/>
      <c r="G57" s="280"/>
      <c r="H57" s="280"/>
      <c r="I57" s="280"/>
      <c r="J57" s="280"/>
      <c r="K57" s="280"/>
    </row>
    <row r="58" spans="1:11">
      <c r="A58" s="294" t="s">
        <v>328</v>
      </c>
      <c r="B58" s="294"/>
      <c r="C58" s="294"/>
      <c r="D58" s="381">
        <f>779583/142</f>
        <v>5490.0211267605637</v>
      </c>
      <c r="E58" s="280"/>
      <c r="F58" s="280"/>
      <c r="G58" s="280"/>
      <c r="H58" s="280"/>
      <c r="I58" s="280"/>
      <c r="J58" s="280"/>
      <c r="K58" s="280"/>
    </row>
    <row r="59" spans="1:11">
      <c r="A59" s="294" t="s">
        <v>329</v>
      </c>
      <c r="B59" s="294"/>
      <c r="C59" s="294"/>
      <c r="D59" s="295">
        <v>0</v>
      </c>
      <c r="E59" s="280"/>
      <c r="F59" s="280"/>
      <c r="G59" s="280"/>
      <c r="H59" s="280"/>
      <c r="I59" s="280"/>
      <c r="J59" s="280"/>
      <c r="K59" s="280"/>
    </row>
    <row r="60" spans="1:11">
      <c r="A60" s="294" t="s">
        <v>330</v>
      </c>
      <c r="B60" s="294"/>
      <c r="C60" s="294"/>
      <c r="D60" s="295">
        <v>0</v>
      </c>
      <c r="E60" s="280"/>
      <c r="F60" s="280"/>
      <c r="G60" s="280"/>
      <c r="H60" s="280"/>
      <c r="I60" s="280"/>
      <c r="J60" s="280"/>
      <c r="K60" s="280"/>
    </row>
    <row r="61" spans="1:11">
      <c r="A61" s="294" t="s">
        <v>331</v>
      </c>
      <c r="B61" s="294"/>
      <c r="C61" s="294"/>
      <c r="D61" s="295">
        <v>0</v>
      </c>
      <c r="E61" s="280"/>
      <c r="F61" s="280"/>
      <c r="G61" s="280"/>
      <c r="H61" s="280"/>
      <c r="I61" s="280"/>
      <c r="J61" s="280"/>
      <c r="K61" s="280"/>
    </row>
    <row r="62" spans="1:11">
      <c r="A62" s="294" t="s">
        <v>332</v>
      </c>
      <c r="B62" s="294"/>
      <c r="C62" s="294"/>
      <c r="D62" s="381">
        <f>352189/142</f>
        <v>2480.2042253521126</v>
      </c>
      <c r="E62" s="280"/>
      <c r="F62" s="280"/>
      <c r="G62" s="280"/>
      <c r="H62" s="280"/>
      <c r="I62" s="280"/>
      <c r="J62" s="280"/>
      <c r="K62" s="280"/>
    </row>
    <row r="63" spans="1:11">
      <c r="A63" s="294" t="s">
        <v>333</v>
      </c>
      <c r="B63" s="294"/>
      <c r="C63" s="294"/>
      <c r="D63" s="381">
        <f>-118617/142</f>
        <v>-835.33098591549299</v>
      </c>
      <c r="E63" s="280"/>
      <c r="F63" s="280"/>
      <c r="G63" s="280"/>
      <c r="H63" s="280"/>
      <c r="I63" s="280"/>
      <c r="J63" s="280"/>
      <c r="K63" s="280"/>
    </row>
    <row r="64" spans="1:11">
      <c r="A64" s="301" t="s">
        <v>296</v>
      </c>
      <c r="B64" s="305"/>
      <c r="C64" s="305"/>
      <c r="D64" s="306">
        <f>SUM(D56:D63)</f>
        <v>18213.311549295777</v>
      </c>
      <c r="E64" s="280"/>
      <c r="F64" s="280"/>
      <c r="G64" s="280"/>
      <c r="H64" s="280"/>
      <c r="I64" s="280"/>
      <c r="J64" s="280"/>
      <c r="K64" s="280"/>
    </row>
  </sheetData>
  <mergeCells count="1">
    <mergeCell ref="A53:D5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0AFB0-E03D-4991-AD44-6877B63B504F}">
  <dimension ref="A1:K64"/>
  <sheetViews>
    <sheetView topLeftCell="A41" workbookViewId="0">
      <selection activeCell="E48" sqref="E48"/>
    </sheetView>
  </sheetViews>
  <sheetFormatPr baseColWidth="10" defaultColWidth="8.83203125" defaultRowHeight="15"/>
  <cols>
    <col min="4" max="4" width="11.6640625" bestFit="1" customWidth="1"/>
  </cols>
  <sheetData>
    <row r="1" spans="1:11">
      <c r="A1" s="131" t="s">
        <v>275</v>
      </c>
      <c r="B1" s="486"/>
      <c r="C1" s="131"/>
      <c r="D1" s="131"/>
      <c r="E1" s="131"/>
      <c r="F1" s="446"/>
      <c r="G1" s="446"/>
      <c r="H1" s="446"/>
      <c r="I1" s="446"/>
      <c r="J1" s="446"/>
      <c r="K1" s="446"/>
    </row>
    <row r="2" spans="1:11">
      <c r="A2" s="132"/>
      <c r="B2" s="132"/>
      <c r="C2" s="132"/>
      <c r="D2" s="133"/>
      <c r="E2" s="135" t="s">
        <v>2</v>
      </c>
      <c r="F2" s="446"/>
      <c r="G2" s="286"/>
      <c r="H2" s="286"/>
      <c r="I2" s="446"/>
      <c r="J2" s="446"/>
      <c r="K2" s="446"/>
    </row>
    <row r="3" spans="1:11">
      <c r="A3" s="132"/>
      <c r="B3" s="132"/>
      <c r="C3" s="132"/>
      <c r="D3" s="137"/>
      <c r="E3" s="137"/>
      <c r="F3" s="446"/>
      <c r="G3" s="446"/>
      <c r="H3" s="446"/>
      <c r="I3" s="446"/>
      <c r="J3" s="446"/>
      <c r="K3" s="446"/>
    </row>
    <row r="4" spans="1:11">
      <c r="A4" s="133"/>
      <c r="B4" s="136"/>
      <c r="C4" s="138"/>
      <c r="D4" s="138" t="s">
        <v>6</v>
      </c>
      <c r="E4" s="138" t="s">
        <v>7</v>
      </c>
      <c r="F4" s="446"/>
      <c r="G4" s="446"/>
      <c r="H4" s="446"/>
      <c r="I4" s="446"/>
      <c r="J4" s="446"/>
      <c r="K4" s="446"/>
    </row>
    <row r="5" spans="1:11">
      <c r="A5" s="122" t="s">
        <v>106</v>
      </c>
      <c r="B5" s="119"/>
      <c r="C5" s="139"/>
      <c r="D5" s="287">
        <v>20269</v>
      </c>
      <c r="E5" s="487">
        <f>D5*(1+E6)</f>
        <v>20822.343700000001</v>
      </c>
      <c r="F5" s="280"/>
      <c r="G5" s="280"/>
      <c r="H5" s="280"/>
      <c r="I5" s="280"/>
      <c r="J5" s="280"/>
      <c r="K5" s="280"/>
    </row>
    <row r="6" spans="1:11" ht="39">
      <c r="A6" s="119"/>
      <c r="B6" s="119"/>
      <c r="C6" s="488" t="s">
        <v>307</v>
      </c>
      <c r="D6" s="488"/>
      <c r="E6" s="288">
        <v>2.7300000000000001E-2</v>
      </c>
      <c r="F6" s="280"/>
      <c r="G6" s="280"/>
      <c r="H6" s="280"/>
      <c r="I6" s="280"/>
      <c r="J6" s="280"/>
      <c r="K6" s="280"/>
    </row>
    <row r="7" spans="1:11">
      <c r="A7" s="122"/>
      <c r="B7" s="119"/>
      <c r="C7" s="488"/>
      <c r="D7" s="488"/>
      <c r="E7" s="488"/>
      <c r="F7" s="280"/>
      <c r="G7" s="280"/>
      <c r="H7" s="280"/>
      <c r="I7" s="280"/>
      <c r="J7" s="280"/>
      <c r="K7" s="280"/>
    </row>
    <row r="8" spans="1:11">
      <c r="A8" s="122" t="s">
        <v>308</v>
      </c>
      <c r="B8" s="122"/>
      <c r="C8" s="489"/>
      <c r="D8" s="290">
        <f>8071-D16</f>
        <v>7578</v>
      </c>
      <c r="E8" s="490">
        <f>E9*E5</f>
        <v>7784.8793999999998</v>
      </c>
      <c r="F8" s="280"/>
      <c r="G8" s="280"/>
      <c r="H8" s="280"/>
      <c r="I8" s="280"/>
      <c r="J8" s="280"/>
      <c r="K8" s="280"/>
    </row>
    <row r="9" spans="1:11">
      <c r="A9" s="119"/>
      <c r="B9" s="145" t="s">
        <v>309</v>
      </c>
      <c r="C9" s="488"/>
      <c r="D9" s="491">
        <f>D8/D5</f>
        <v>0.37387142927623462</v>
      </c>
      <c r="E9" s="491">
        <f>D9</f>
        <v>0.37387142927623462</v>
      </c>
      <c r="F9" s="280"/>
      <c r="G9" s="280"/>
      <c r="H9" s="280"/>
      <c r="I9" s="280"/>
      <c r="J9" s="280"/>
      <c r="K9" s="280"/>
    </row>
    <row r="10" spans="1:11">
      <c r="A10" s="122" t="s">
        <v>310</v>
      </c>
      <c r="B10" s="122"/>
      <c r="C10" s="139"/>
      <c r="D10" s="487">
        <f>D5-D8</f>
        <v>12691</v>
      </c>
      <c r="E10" s="487">
        <f>E5-E8</f>
        <v>13037.464300000001</v>
      </c>
      <c r="F10" s="280"/>
      <c r="G10" s="280"/>
      <c r="H10" s="280"/>
      <c r="I10" s="280"/>
      <c r="J10" s="280"/>
      <c r="K10" s="280"/>
    </row>
    <row r="11" spans="1:11">
      <c r="A11" s="119"/>
      <c r="B11" s="145" t="s">
        <v>311</v>
      </c>
      <c r="C11" s="488"/>
      <c r="D11" s="492">
        <f>D10/D5</f>
        <v>0.62612857072376538</v>
      </c>
      <c r="E11" s="492">
        <f>E10/E5</f>
        <v>0.62612857072376538</v>
      </c>
      <c r="F11" s="280"/>
      <c r="G11" s="280"/>
      <c r="H11" s="280"/>
      <c r="I11" s="280"/>
      <c r="J11" s="280"/>
      <c r="K11" s="280"/>
    </row>
    <row r="12" spans="1:11">
      <c r="A12" s="122" t="s">
        <v>154</v>
      </c>
      <c r="B12" s="119"/>
      <c r="C12" s="119"/>
      <c r="D12" s="493">
        <v>6197</v>
      </c>
      <c r="E12" s="490">
        <f>E13*E5</f>
        <v>6366.178100000001</v>
      </c>
      <c r="F12" s="280"/>
      <c r="G12" s="280"/>
      <c r="H12" s="280"/>
      <c r="I12" s="280"/>
      <c r="J12" s="280"/>
      <c r="K12" s="280"/>
    </row>
    <row r="13" spans="1:11">
      <c r="A13" s="119"/>
      <c r="B13" s="145" t="s">
        <v>312</v>
      </c>
      <c r="C13" s="488"/>
      <c r="D13" s="492">
        <f>D12/D5</f>
        <v>0.30573782623711088</v>
      </c>
      <c r="E13" s="492">
        <f>D13</f>
        <v>0.30573782623711088</v>
      </c>
      <c r="F13" s="280"/>
      <c r="G13" s="280"/>
      <c r="H13" s="280"/>
      <c r="I13" s="280"/>
      <c r="J13" s="280"/>
      <c r="K13" s="280"/>
    </row>
    <row r="14" spans="1:11">
      <c r="A14" s="122" t="s">
        <v>121</v>
      </c>
      <c r="B14" s="122"/>
      <c r="C14" s="139"/>
      <c r="D14" s="487">
        <f>D10-D12</f>
        <v>6494</v>
      </c>
      <c r="E14" s="487">
        <f>E10-E12</f>
        <v>6671.2862000000005</v>
      </c>
      <c r="F14" s="280"/>
      <c r="G14" s="280"/>
      <c r="H14" s="280"/>
      <c r="I14" s="280"/>
      <c r="J14" s="280"/>
      <c r="K14" s="280"/>
    </row>
    <row r="15" spans="1:11">
      <c r="A15" s="119"/>
      <c r="B15" s="145" t="s">
        <v>313</v>
      </c>
      <c r="C15" s="488"/>
      <c r="D15" s="504">
        <f>D14/D5</f>
        <v>0.3203907444866545</v>
      </c>
      <c r="E15" s="504">
        <f>E14/E5</f>
        <v>0.3203907444866545</v>
      </c>
      <c r="F15" s="280"/>
      <c r="G15" s="280"/>
      <c r="H15" s="280"/>
      <c r="I15" s="280"/>
      <c r="J15" s="280"/>
      <c r="K15" s="280"/>
    </row>
    <row r="16" spans="1:11">
      <c r="A16" s="119" t="s">
        <v>56</v>
      </c>
      <c r="B16" s="119"/>
      <c r="C16" s="119"/>
      <c r="D16" s="289">
        <v>493</v>
      </c>
      <c r="E16" s="511">
        <f>E17*E5</f>
        <v>506.45890000000003</v>
      </c>
      <c r="F16" s="280"/>
      <c r="G16" s="280"/>
      <c r="H16" s="280"/>
      <c r="I16" s="280"/>
      <c r="J16" s="280"/>
      <c r="K16" s="280"/>
    </row>
    <row r="17" spans="1:11">
      <c r="A17" s="119"/>
      <c r="B17" s="145" t="s">
        <v>314</v>
      </c>
      <c r="C17" s="119"/>
      <c r="D17" s="505">
        <f>D16/D5</f>
        <v>2.4322857565740787E-2</v>
      </c>
      <c r="E17" s="505">
        <f>D17</f>
        <v>2.4322857565740787E-2</v>
      </c>
      <c r="F17" s="280"/>
      <c r="G17" s="280"/>
      <c r="H17" s="280"/>
      <c r="I17" s="280"/>
      <c r="J17" s="280"/>
      <c r="K17" s="280"/>
    </row>
    <row r="18" spans="1:11">
      <c r="A18" s="122" t="s">
        <v>123</v>
      </c>
      <c r="B18" s="122"/>
      <c r="C18" s="139"/>
      <c r="D18" s="487">
        <f>D14-D16</f>
        <v>6001</v>
      </c>
      <c r="E18" s="487">
        <f>E14-E16</f>
        <v>6164.8273000000008</v>
      </c>
      <c r="F18" s="280"/>
      <c r="G18" s="280"/>
      <c r="H18" s="280"/>
      <c r="I18" s="280"/>
      <c r="J18" s="280"/>
      <c r="K18" s="280"/>
    </row>
    <row r="19" spans="1:11">
      <c r="A19" s="119"/>
      <c r="B19" s="145" t="s">
        <v>124</v>
      </c>
      <c r="C19" s="145"/>
      <c r="D19" s="505">
        <f>D18/D5</f>
        <v>0.29606788692091374</v>
      </c>
      <c r="E19" s="505">
        <f>E18/E5</f>
        <v>0.29606788692091374</v>
      </c>
      <c r="F19" s="280"/>
      <c r="G19" s="280"/>
      <c r="H19" s="280"/>
      <c r="I19" s="280"/>
      <c r="J19" s="280"/>
      <c r="K19" s="280"/>
    </row>
    <row r="20" spans="1:11">
      <c r="A20" s="122" t="s">
        <v>315</v>
      </c>
      <c r="B20" s="145"/>
      <c r="C20" s="145"/>
      <c r="D20" s="291">
        <v>-414</v>
      </c>
      <c r="E20" s="291">
        <f>D20</f>
        <v>-414</v>
      </c>
      <c r="F20" s="280"/>
      <c r="G20" s="280"/>
      <c r="H20" s="280"/>
      <c r="I20" s="280"/>
      <c r="J20" s="280"/>
      <c r="K20" s="280"/>
    </row>
    <row r="21" spans="1:11">
      <c r="A21" s="122" t="s">
        <v>316</v>
      </c>
      <c r="B21" s="119"/>
      <c r="C21" s="489"/>
      <c r="D21" s="502">
        <v>70</v>
      </c>
      <c r="E21" s="489">
        <f>D21</f>
        <v>70</v>
      </c>
      <c r="F21" s="280"/>
      <c r="G21" s="280"/>
      <c r="H21" s="280"/>
      <c r="I21" s="280"/>
      <c r="J21" s="280"/>
      <c r="K21" s="280"/>
    </row>
    <row r="22" spans="1:11">
      <c r="A22" s="122" t="s">
        <v>127</v>
      </c>
      <c r="B22" s="119"/>
      <c r="C22" s="145"/>
      <c r="D22" s="488"/>
      <c r="E22" s="488"/>
      <c r="F22" s="280"/>
      <c r="G22" s="280"/>
      <c r="H22" s="280"/>
      <c r="I22" s="280"/>
      <c r="J22" s="280"/>
      <c r="K22" s="280"/>
    </row>
    <row r="23" spans="1:11">
      <c r="A23" s="119"/>
      <c r="B23" s="119" t="s">
        <v>128</v>
      </c>
      <c r="C23" s="119"/>
      <c r="D23" s="493">
        <v>1285</v>
      </c>
      <c r="E23" s="490">
        <f>D23</f>
        <v>1285</v>
      </c>
      <c r="F23" s="280"/>
      <c r="G23" s="280"/>
      <c r="H23" s="280"/>
      <c r="I23" s="280"/>
      <c r="J23" s="280"/>
      <c r="K23" s="280"/>
    </row>
    <row r="24" spans="1:11">
      <c r="A24" s="119"/>
      <c r="B24" s="119" t="s">
        <v>206</v>
      </c>
      <c r="C24" s="119"/>
      <c r="D24" s="291">
        <v>-400</v>
      </c>
      <c r="E24" s="291">
        <f>D24</f>
        <v>-400</v>
      </c>
      <c r="F24" s="280"/>
      <c r="G24" s="280"/>
      <c r="H24" s="280"/>
      <c r="I24" s="280"/>
      <c r="J24" s="280"/>
      <c r="K24" s="280"/>
    </row>
    <row r="25" spans="1:11">
      <c r="A25" s="119"/>
      <c r="B25" s="122" t="s">
        <v>317</v>
      </c>
      <c r="C25" s="119"/>
      <c r="D25" s="293">
        <f>D23+D24</f>
        <v>885</v>
      </c>
      <c r="E25" s="293">
        <f>E23+E24</f>
        <v>885</v>
      </c>
      <c r="F25" s="280"/>
      <c r="G25" s="119"/>
      <c r="H25" s="119"/>
      <c r="I25" s="280"/>
      <c r="J25" s="280"/>
      <c r="K25" s="280"/>
    </row>
    <row r="26" spans="1:11">
      <c r="A26" s="122" t="s">
        <v>318</v>
      </c>
      <c r="B26" s="122"/>
      <c r="C26" s="119"/>
      <c r="D26" s="487">
        <f>D18-D20-D21-D25</f>
        <v>5460</v>
      </c>
      <c r="E26" s="487">
        <f>E18-E20-E21-E25</f>
        <v>5623.8273000000008</v>
      </c>
      <c r="F26" s="280"/>
      <c r="G26" s="280"/>
      <c r="H26" s="119"/>
      <c r="I26" s="280"/>
      <c r="J26" s="280"/>
      <c r="K26" s="280"/>
    </row>
    <row r="27" spans="1:11">
      <c r="A27" s="119"/>
      <c r="B27" s="145" t="s">
        <v>319</v>
      </c>
      <c r="C27" s="488"/>
      <c r="D27" s="492">
        <f>D26/D5</f>
        <v>0.26937688095120627</v>
      </c>
      <c r="E27" s="492">
        <f>E26/E5</f>
        <v>0.27008618150895281</v>
      </c>
      <c r="F27" s="280"/>
      <c r="G27" s="280"/>
      <c r="H27" s="280"/>
      <c r="I27" s="280"/>
      <c r="J27" s="280"/>
      <c r="K27" s="280"/>
    </row>
    <row r="28" spans="1:11">
      <c r="A28" s="119" t="s">
        <v>320</v>
      </c>
      <c r="B28" s="119"/>
      <c r="C28" s="119"/>
      <c r="D28" s="490">
        <v>1294</v>
      </c>
      <c r="E28" s="490">
        <f>E29*E26</f>
        <v>1332.8264700000002</v>
      </c>
      <c r="F28" s="280"/>
      <c r="G28" s="280"/>
      <c r="H28" s="280"/>
      <c r="I28" s="280"/>
      <c r="J28" s="280"/>
      <c r="K28" s="280"/>
    </row>
    <row r="29" spans="1:11">
      <c r="A29" s="119"/>
      <c r="B29" s="145" t="s">
        <v>321</v>
      </c>
      <c r="C29" s="488"/>
      <c r="D29" s="288">
        <f>D28/D26</f>
        <v>0.23699633699633699</v>
      </c>
      <c r="E29" s="492">
        <f>D29</f>
        <v>0.23699633699633699</v>
      </c>
      <c r="F29" s="280"/>
      <c r="G29" s="280"/>
      <c r="H29" s="280"/>
      <c r="I29" s="280"/>
      <c r="J29" s="280"/>
      <c r="K29" s="280"/>
    </row>
    <row r="30" spans="1:11">
      <c r="A30" s="122" t="s">
        <v>135</v>
      </c>
      <c r="B30" s="119"/>
      <c r="C30" s="119"/>
      <c r="D30" s="494">
        <f>D26-D28</f>
        <v>4166</v>
      </c>
      <c r="E30" s="494">
        <f>E26-E28</f>
        <v>4291.0008300000009</v>
      </c>
      <c r="F30" s="280"/>
      <c r="G30" s="280"/>
      <c r="H30" s="280"/>
      <c r="I30" s="280"/>
      <c r="J30" s="280"/>
      <c r="K30" s="280"/>
    </row>
    <row r="31" spans="1:11">
      <c r="A31" s="122" t="s">
        <v>136</v>
      </c>
      <c r="B31" s="119"/>
      <c r="C31" s="119"/>
      <c r="D31" s="121">
        <v>296</v>
      </c>
      <c r="E31" s="121">
        <v>296</v>
      </c>
      <c r="F31" s="280"/>
      <c r="G31" s="280"/>
      <c r="H31" s="280"/>
      <c r="I31" s="280"/>
      <c r="J31" s="280"/>
      <c r="K31" s="280"/>
    </row>
    <row r="32" spans="1:11">
      <c r="A32" s="122" t="s">
        <v>137</v>
      </c>
      <c r="B32" s="119"/>
      <c r="C32" s="119"/>
      <c r="D32" s="489"/>
      <c r="E32" s="489"/>
      <c r="F32" s="280"/>
      <c r="G32" s="280"/>
      <c r="H32" s="280"/>
      <c r="I32" s="280"/>
      <c r="J32" s="280"/>
      <c r="K32" s="280"/>
    </row>
    <row r="33" spans="1:11">
      <c r="A33" s="122"/>
      <c r="B33" s="119" t="s">
        <v>138</v>
      </c>
      <c r="C33" s="119"/>
      <c r="D33" s="495">
        <v>0</v>
      </c>
      <c r="E33" s="495">
        <v>0</v>
      </c>
      <c r="F33" s="280"/>
      <c r="G33" s="280"/>
      <c r="H33" s="280"/>
      <c r="I33" s="280"/>
      <c r="J33" s="280"/>
      <c r="K33" s="280"/>
    </row>
    <row r="34" spans="1:11">
      <c r="A34" s="122"/>
      <c r="B34" s="119" t="s">
        <v>139</v>
      </c>
      <c r="C34" s="119"/>
      <c r="D34" s="495">
        <v>0</v>
      </c>
      <c r="E34" s="495">
        <v>0</v>
      </c>
      <c r="F34" s="280"/>
      <c r="G34" s="280"/>
      <c r="H34" s="280"/>
      <c r="I34" s="280"/>
      <c r="J34" s="280"/>
      <c r="K34" s="280"/>
    </row>
    <row r="35" spans="1:11">
      <c r="A35" s="122"/>
      <c r="B35" s="119" t="s">
        <v>140</v>
      </c>
      <c r="C35" s="119"/>
      <c r="D35" s="495">
        <v>0</v>
      </c>
      <c r="E35" s="495">
        <v>0</v>
      </c>
      <c r="F35" s="280"/>
      <c r="G35" s="280"/>
      <c r="H35" s="280"/>
      <c r="I35" s="280"/>
      <c r="J35" s="280"/>
      <c r="K35" s="280"/>
    </row>
    <row r="36" spans="1:11">
      <c r="A36" s="122"/>
      <c r="B36" s="119" t="s">
        <v>141</v>
      </c>
      <c r="C36" s="119"/>
      <c r="D36" s="495">
        <v>0</v>
      </c>
      <c r="E36" s="495">
        <v>0</v>
      </c>
      <c r="F36" s="280"/>
      <c r="G36" s="280"/>
      <c r="H36" s="280"/>
      <c r="I36" s="280"/>
      <c r="J36" s="280"/>
      <c r="K36" s="280"/>
    </row>
    <row r="37" spans="1:11">
      <c r="A37" s="122"/>
      <c r="B37" s="119" t="s">
        <v>63</v>
      </c>
      <c r="C37" s="119"/>
      <c r="D37" s="496">
        <v>0</v>
      </c>
      <c r="E37" s="496">
        <v>0</v>
      </c>
      <c r="F37" s="280"/>
      <c r="G37" s="280"/>
      <c r="H37" s="280"/>
      <c r="I37" s="280"/>
      <c r="J37" s="280"/>
      <c r="K37" s="280"/>
    </row>
    <row r="38" spans="1:11">
      <c r="A38" s="122"/>
      <c r="B38" s="122" t="s">
        <v>142</v>
      </c>
      <c r="C38" s="119"/>
      <c r="D38" s="497">
        <v>0</v>
      </c>
      <c r="E38" s="497">
        <v>0</v>
      </c>
      <c r="F38" s="280"/>
      <c r="G38" s="280"/>
      <c r="H38" s="280"/>
      <c r="I38" s="280"/>
      <c r="J38" s="280"/>
      <c r="K38" s="280"/>
    </row>
    <row r="39" spans="1:11">
      <c r="A39" s="122"/>
      <c r="B39" s="122" t="s">
        <v>143</v>
      </c>
      <c r="C39" s="139"/>
      <c r="D39" s="487">
        <f>D30-D31</f>
        <v>3870</v>
      </c>
      <c r="E39" s="487">
        <f>E30-E31</f>
        <v>3995.0008300000009</v>
      </c>
      <c r="F39" s="280"/>
      <c r="G39" s="280"/>
      <c r="H39" s="280"/>
      <c r="I39" s="280"/>
      <c r="J39" s="280"/>
      <c r="K39" s="280"/>
    </row>
    <row r="40" spans="1:11">
      <c r="A40" s="122"/>
      <c r="B40" s="119" t="s">
        <v>141</v>
      </c>
      <c r="C40" s="119"/>
      <c r="D40" s="495">
        <v>0</v>
      </c>
      <c r="E40" s="495">
        <v>0</v>
      </c>
      <c r="F40" s="280"/>
      <c r="G40" s="280"/>
      <c r="H40" s="280"/>
      <c r="I40" s="280"/>
      <c r="J40" s="280"/>
      <c r="K40" s="280"/>
    </row>
    <row r="41" spans="1:11">
      <c r="A41" s="122"/>
      <c r="B41" s="119" t="s">
        <v>144</v>
      </c>
      <c r="C41" s="145"/>
      <c r="D41" s="496">
        <v>0</v>
      </c>
      <c r="E41" s="496">
        <v>0</v>
      </c>
      <c r="F41" s="280"/>
      <c r="G41" s="280"/>
      <c r="H41" s="280"/>
      <c r="I41" s="280"/>
      <c r="J41" s="280"/>
      <c r="K41" s="280"/>
    </row>
    <row r="42" spans="1:11">
      <c r="A42" s="122"/>
      <c r="B42" s="119"/>
      <c r="C42" s="145" t="s">
        <v>145</v>
      </c>
      <c r="D42" s="498">
        <v>0</v>
      </c>
      <c r="E42" s="498">
        <v>0</v>
      </c>
      <c r="F42" s="280"/>
      <c r="G42" s="280"/>
      <c r="H42" s="280"/>
      <c r="I42" s="280"/>
      <c r="J42" s="280"/>
      <c r="K42" s="280"/>
    </row>
    <row r="43" spans="1:11">
      <c r="A43" s="122" t="s">
        <v>146</v>
      </c>
      <c r="B43" s="119"/>
      <c r="C43" s="119"/>
      <c r="D43" s="499">
        <f>D39</f>
        <v>3870</v>
      </c>
      <c r="E43" s="499">
        <f>E39</f>
        <v>3995.0008300000009</v>
      </c>
      <c r="F43" s="280"/>
      <c r="G43" s="280"/>
      <c r="H43" s="280"/>
      <c r="I43" s="280"/>
      <c r="J43" s="280"/>
      <c r="K43" s="280"/>
    </row>
    <row r="44" spans="1:11">
      <c r="A44" s="122" t="s">
        <v>147</v>
      </c>
      <c r="B44" s="119"/>
      <c r="C44" s="119"/>
      <c r="D44" s="121"/>
      <c r="E44" s="121"/>
      <c r="F44" s="280"/>
      <c r="G44" s="280"/>
      <c r="H44" s="280"/>
      <c r="I44" s="280"/>
      <c r="J44" s="280"/>
      <c r="K44" s="280"/>
    </row>
    <row r="45" spans="1:11">
      <c r="A45" s="122"/>
      <c r="B45" s="119" t="s">
        <v>148</v>
      </c>
      <c r="C45" s="119"/>
      <c r="D45" s="512">
        <f>D43/D48</f>
        <v>1.7323187108325873</v>
      </c>
      <c r="E45" s="512">
        <f>E43/E48</f>
        <v>7.1908145328221478</v>
      </c>
      <c r="F45" s="280"/>
      <c r="G45" s="280"/>
      <c r="H45" s="280"/>
      <c r="I45" s="280"/>
      <c r="J45" s="280"/>
      <c r="K45" s="280"/>
    </row>
    <row r="46" spans="1:11">
      <c r="A46" s="122"/>
      <c r="B46" s="119" t="s">
        <v>149</v>
      </c>
      <c r="C46" s="119"/>
      <c r="D46" s="512">
        <f>D43/D49</f>
        <v>1.7284502009825815</v>
      </c>
      <c r="E46" s="512">
        <f>E43/E49</f>
        <v>7.1914617475518448</v>
      </c>
      <c r="F46" s="280"/>
      <c r="G46" s="280"/>
      <c r="H46" s="280"/>
      <c r="I46" s="280"/>
      <c r="J46" s="280"/>
      <c r="K46" s="280"/>
    </row>
    <row r="47" spans="1:11">
      <c r="A47" s="122" t="s">
        <v>151</v>
      </c>
      <c r="B47" s="119"/>
      <c r="C47" s="119"/>
      <c r="D47" s="121"/>
      <c r="E47" s="121"/>
      <c r="F47" s="280"/>
      <c r="G47" s="280"/>
      <c r="H47" s="280"/>
      <c r="I47" s="280"/>
      <c r="J47" s="280"/>
      <c r="K47" s="280"/>
    </row>
    <row r="48" spans="1:11">
      <c r="A48" s="122"/>
      <c r="B48" s="119" t="s">
        <v>148</v>
      </c>
      <c r="C48" s="119"/>
      <c r="D48" s="501">
        <v>2234</v>
      </c>
      <c r="E48" s="501">
        <v>555.57000000000005</v>
      </c>
      <c r="F48" s="280"/>
      <c r="G48" s="280"/>
      <c r="H48" s="280"/>
      <c r="I48" s="280"/>
      <c r="J48" s="280"/>
      <c r="K48" s="280"/>
    </row>
    <row r="49" spans="1:11">
      <c r="A49" s="122"/>
      <c r="B49" s="119" t="s">
        <v>149</v>
      </c>
      <c r="C49" s="119"/>
      <c r="D49" s="501">
        <v>2239</v>
      </c>
      <c r="E49" s="501">
        <f>D55</f>
        <v>555.52</v>
      </c>
      <c r="F49" s="280"/>
      <c r="G49" s="280"/>
      <c r="H49" s="280"/>
      <c r="I49" s="280"/>
      <c r="J49" s="280"/>
      <c r="K49" s="280"/>
    </row>
    <row r="50" spans="1:11">
      <c r="A50" s="280"/>
      <c r="B50" s="280"/>
      <c r="C50" s="280"/>
      <c r="D50" s="280"/>
      <c r="E50" s="280"/>
      <c r="F50" s="280"/>
      <c r="G50" s="280"/>
      <c r="H50" s="280"/>
      <c r="I50" s="280"/>
      <c r="J50" s="280"/>
      <c r="K50" s="280"/>
    </row>
    <row r="51" spans="1:11">
      <c r="A51" s="280"/>
      <c r="B51" s="280"/>
      <c r="C51" s="280"/>
      <c r="D51" s="280"/>
      <c r="E51" s="280"/>
      <c r="F51" s="280"/>
      <c r="G51" s="280"/>
      <c r="H51" s="280"/>
      <c r="I51" s="280"/>
      <c r="J51" s="280"/>
      <c r="K51" s="280"/>
    </row>
    <row r="52" spans="1:11">
      <c r="A52" s="280"/>
      <c r="B52" s="280"/>
      <c r="C52" s="280"/>
      <c r="D52" s="280"/>
      <c r="E52" s="280"/>
      <c r="F52" s="280"/>
      <c r="G52" s="280"/>
      <c r="H52" s="280"/>
      <c r="I52" s="280"/>
      <c r="J52" s="280"/>
      <c r="K52" s="280"/>
    </row>
    <row r="53" spans="1:11">
      <c r="A53" s="547" t="s">
        <v>322</v>
      </c>
      <c r="B53" s="548"/>
      <c r="C53" s="548"/>
      <c r="D53" s="549"/>
      <c r="E53" s="280"/>
      <c r="F53" s="280"/>
      <c r="G53" s="280"/>
      <c r="H53" s="280"/>
      <c r="I53" s="280"/>
      <c r="J53" s="280"/>
      <c r="K53" s="280"/>
    </row>
    <row r="54" spans="1:11">
      <c r="A54" s="294" t="s">
        <v>323</v>
      </c>
      <c r="B54" s="294"/>
      <c r="C54" s="294"/>
      <c r="D54" s="296">
        <v>115.1</v>
      </c>
      <c r="E54" s="280"/>
      <c r="F54" s="280"/>
      <c r="G54" s="280"/>
      <c r="H54" s="280"/>
      <c r="I54" s="280"/>
      <c r="J54" s="280"/>
      <c r="K54" s="280"/>
    </row>
    <row r="55" spans="1:11">
      <c r="A55" s="297" t="s">
        <v>324</v>
      </c>
      <c r="B55" s="297"/>
      <c r="C55" s="298"/>
      <c r="D55" s="310">
        <v>555.52</v>
      </c>
      <c r="E55" s="280" t="s">
        <v>325</v>
      </c>
      <c r="F55" s="280"/>
      <c r="G55" s="280"/>
      <c r="H55" s="280"/>
      <c r="I55" s="280"/>
      <c r="J55" s="280"/>
      <c r="K55" s="280"/>
    </row>
    <row r="56" spans="1:11">
      <c r="A56" s="301" t="s">
        <v>326</v>
      </c>
      <c r="B56" s="302"/>
      <c r="C56" s="302"/>
      <c r="D56" s="303">
        <f>D54*D55</f>
        <v>63940.351999999992</v>
      </c>
      <c r="E56" s="280"/>
      <c r="F56" s="280"/>
      <c r="G56" s="280"/>
      <c r="H56" s="280"/>
      <c r="I56" s="280"/>
      <c r="J56" s="280"/>
      <c r="K56" s="280"/>
    </row>
    <row r="57" spans="1:11">
      <c r="A57" s="294" t="s">
        <v>327</v>
      </c>
      <c r="B57" s="294"/>
      <c r="C57" s="294"/>
      <c r="D57" s="304">
        <v>2885</v>
      </c>
      <c r="E57" s="280"/>
      <c r="F57" s="280"/>
      <c r="G57" s="280"/>
      <c r="H57" s="280"/>
      <c r="I57" s="280"/>
      <c r="J57" s="280"/>
      <c r="K57" s="280"/>
    </row>
    <row r="58" spans="1:11">
      <c r="A58" s="294" t="s">
        <v>328</v>
      </c>
      <c r="B58" s="294"/>
      <c r="C58" s="294"/>
      <c r="D58" s="304">
        <v>18616</v>
      </c>
      <c r="E58" s="280"/>
      <c r="F58" s="280"/>
      <c r="G58" s="280"/>
      <c r="H58" s="280"/>
      <c r="I58" s="280"/>
      <c r="J58" s="280"/>
      <c r="K58" s="280"/>
    </row>
    <row r="59" spans="1:11">
      <c r="A59" s="294" t="s">
        <v>329</v>
      </c>
      <c r="B59" s="294"/>
      <c r="C59" s="294"/>
      <c r="D59" s="295">
        <v>0</v>
      </c>
      <c r="E59" s="280"/>
      <c r="F59" s="280"/>
      <c r="G59" s="280"/>
      <c r="H59" s="280"/>
      <c r="I59" s="280"/>
      <c r="J59" s="280"/>
      <c r="K59" s="280"/>
    </row>
    <row r="60" spans="1:11">
      <c r="A60" s="294" t="s">
        <v>330</v>
      </c>
      <c r="B60" s="294"/>
      <c r="C60" s="294"/>
      <c r="D60" s="295">
        <v>0</v>
      </c>
      <c r="E60" s="280"/>
      <c r="F60" s="280"/>
      <c r="G60" s="280"/>
      <c r="H60" s="280"/>
      <c r="I60" s="280"/>
      <c r="J60" s="280"/>
      <c r="K60" s="280"/>
    </row>
    <row r="61" spans="1:11">
      <c r="A61" s="294" t="s">
        <v>331</v>
      </c>
      <c r="B61" s="294"/>
      <c r="C61" s="294"/>
      <c r="D61" s="295">
        <v>0</v>
      </c>
      <c r="E61" s="280"/>
      <c r="F61" s="280"/>
      <c r="G61" s="280"/>
      <c r="H61" s="280"/>
      <c r="I61" s="280"/>
      <c r="J61" s="280"/>
      <c r="K61" s="280"/>
    </row>
    <row r="62" spans="1:11">
      <c r="A62" s="294" t="s">
        <v>332</v>
      </c>
      <c r="B62" s="294"/>
      <c r="C62" s="294"/>
      <c r="D62" s="295">
        <v>2038</v>
      </c>
      <c r="E62" s="280"/>
      <c r="F62" s="280"/>
      <c r="G62" s="280"/>
      <c r="H62" s="280"/>
      <c r="I62" s="280"/>
      <c r="J62" s="280"/>
      <c r="K62" s="280"/>
    </row>
    <row r="63" spans="1:11">
      <c r="A63" s="294" t="s">
        <v>333</v>
      </c>
      <c r="B63" s="294"/>
      <c r="C63" s="294"/>
      <c r="D63" s="304">
        <v>-1130</v>
      </c>
      <c r="E63" s="280"/>
      <c r="F63" s="280"/>
      <c r="G63" s="280"/>
      <c r="H63" s="280"/>
      <c r="I63" s="280"/>
      <c r="J63" s="280"/>
      <c r="K63" s="280"/>
    </row>
    <row r="64" spans="1:11">
      <c r="A64" s="301" t="s">
        <v>296</v>
      </c>
      <c r="B64" s="305"/>
      <c r="C64" s="305"/>
      <c r="D64" s="306">
        <f>SUM(D56:D63)</f>
        <v>86349.351999999984</v>
      </c>
      <c r="E64" s="280"/>
      <c r="F64" s="280"/>
      <c r="G64" s="280"/>
      <c r="H64" s="280"/>
      <c r="I64" s="280"/>
      <c r="J64" s="280"/>
      <c r="K64" s="280"/>
    </row>
  </sheetData>
  <mergeCells count="1">
    <mergeCell ref="A53:D5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D22FA9F2A601F4FBDB3727FC2E153B4" ma:contentTypeVersion="6" ma:contentTypeDescription="Create a new document." ma:contentTypeScope="" ma:versionID="79ed9c74a451b232fc567beffacd7989">
  <xsd:schema xmlns:xsd="http://www.w3.org/2001/XMLSchema" xmlns:xs="http://www.w3.org/2001/XMLSchema" xmlns:p="http://schemas.microsoft.com/office/2006/metadata/properties" xmlns:ns3="eb901f4a-91e9-41b9-aa8d-0b8b5e03e369" targetNamespace="http://schemas.microsoft.com/office/2006/metadata/properties" ma:root="true" ma:fieldsID="03697b31bfc9e28ab0556cf784072a55" ns3:_="">
    <xsd:import namespace="eb901f4a-91e9-41b9-aa8d-0b8b5e03e369"/>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901f4a-91e9-41b9-aa8d-0b8b5e03e369"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b901f4a-91e9-41b9-aa8d-0b8b5e03e369" xsi:nil="true"/>
  </documentManagement>
</p:properties>
</file>

<file path=customXml/itemProps1.xml><?xml version="1.0" encoding="utf-8"?>
<ds:datastoreItem xmlns:ds="http://schemas.openxmlformats.org/officeDocument/2006/customXml" ds:itemID="{2ACF1531-487D-42C2-A23F-789A22D3AA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901f4a-91e9-41b9-aa8d-0b8b5e03e3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22E0C5-C8D0-42F1-ACE7-476DF23FBCAA}">
  <ds:schemaRefs>
    <ds:schemaRef ds:uri="http://schemas.microsoft.com/sharepoint/v3/contenttype/forms"/>
  </ds:schemaRefs>
</ds:datastoreItem>
</file>

<file path=customXml/itemProps3.xml><?xml version="1.0" encoding="utf-8"?>
<ds:datastoreItem xmlns:ds="http://schemas.openxmlformats.org/officeDocument/2006/customXml" ds:itemID="{0E481D34-D842-4A38-AE3C-8B782D91EC5E}">
  <ds:schemaRefs>
    <ds:schemaRef ds:uri="http://schemas.microsoft.com/office/2006/documentManagement/types"/>
    <ds:schemaRef ds:uri="http://schemas.openxmlformats.org/package/2006/metadata/core-properties"/>
    <ds:schemaRef ds:uri="eb901f4a-91e9-41b9-aa8d-0b8b5e03e369"/>
    <ds:schemaRef ds:uri="http://www.w3.org/XML/1998/namespace"/>
    <ds:schemaRef ds:uri="http://schemas.microsoft.com/office/infopath/2007/PartnerControls"/>
    <ds:schemaRef ds:uri="http://purl.org/dc/terms/"/>
    <ds:schemaRef ds:uri="http://purl.org/dc/dcmitype/"/>
    <ds:schemaRef ds:uri="http://purl.org/dc/elements/1.1/"/>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READ ME</vt:lpstr>
      <vt:lpstr>Income Statement</vt:lpstr>
      <vt:lpstr>Balance Sheet</vt:lpstr>
      <vt:lpstr>Cash Flow</vt:lpstr>
      <vt:lpstr>Working Capital</vt:lpstr>
      <vt:lpstr>Depreciation</vt:lpstr>
      <vt:lpstr>Debt Schedule</vt:lpstr>
      <vt:lpstr>DCF</vt:lpstr>
      <vt:lpstr>Football field</vt:lpstr>
      <vt:lpstr>Comparable Analysis</vt:lpstr>
      <vt:lpstr>Coca-cola Comp</vt:lpstr>
      <vt:lpstr>Pepsi</vt:lpstr>
      <vt:lpstr>Nestle</vt:lpstr>
      <vt:lpstr>keurig dr pepper</vt:lpstr>
      <vt:lpstr>Monster</vt:lpstr>
      <vt:lpstr>The Boston Beer Comp</vt:lpstr>
      <vt:lpstr>Anheuser-Busch InBev</vt:lpstr>
      <vt:lpstr>Kirin Holdings</vt:lpstr>
      <vt:lpstr>Diageo plc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单雯悦</dc:creator>
  <cp:keywords/>
  <dc:description/>
  <cp:lastModifiedBy>James Rogers Ochwa</cp:lastModifiedBy>
  <cp:revision/>
  <dcterms:created xsi:type="dcterms:W3CDTF">2023-05-12T11:15:00Z</dcterms:created>
  <dcterms:modified xsi:type="dcterms:W3CDTF">2025-08-15T05:09:16Z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E3E2C436C2D944D5AA735BFE7FEA1743_12</vt:lpwstr>
  </property>
  <property fmtid="{D5CDD505-2E9C-101B-9397-08002B2CF9AE}" pid="4" name="ContentTypeId">
    <vt:lpwstr>0x0101002D22FA9F2A601F4FBDB3727FC2E153B4</vt:lpwstr>
  </property>
</Properties>
</file>