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00" windowHeight="9615" activeTab="6"/>
  </bookViews>
  <sheets>
    <sheet name="VEND" sheetId="3" r:id="rId1"/>
    <sheet name="GROUP" sheetId="5" r:id="rId2"/>
    <sheet name="INVT" sheetId="4" r:id="rId3"/>
    <sheet name="PO" sheetId="2" r:id="rId4"/>
    <sheet name="PURC" sheetId="1" r:id="rId5"/>
    <sheet name="OUT" sheetId="6" r:id="rId6"/>
    <sheet name="SETT" sheetId="7" r:id="rId7"/>
  </sheets>
  <definedNames>
    <definedName name="_barang">INVT[NAMA BARANG]</definedName>
    <definedName name="_group">GROUP[GROUP]</definedName>
    <definedName name="_po">PO[NOMOR]</definedName>
    <definedName name="_vendor">VEND[NAMA]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G6" i="7"/>
  <c r="G7" i="7"/>
  <c r="G8" i="7"/>
  <c r="G9" i="7"/>
  <c r="G10" i="7"/>
  <c r="H10" i="2"/>
  <c r="I10" i="2"/>
  <c r="F6" i="3"/>
  <c r="F7" i="3"/>
  <c r="I6" i="2"/>
  <c r="I7" i="2"/>
  <c r="I8" i="2"/>
  <c r="I9" i="2"/>
  <c r="H7" i="2"/>
  <c r="G7" i="2" s="1"/>
  <c r="I11" i="7"/>
  <c r="J10" i="7"/>
  <c r="H10" i="7"/>
  <c r="F6" i="4"/>
  <c r="F7" i="4"/>
  <c r="F8" i="4"/>
  <c r="F9" i="4"/>
  <c r="F10" i="4"/>
  <c r="G10" i="6"/>
  <c r="G11" i="6"/>
  <c r="G12" i="6"/>
  <c r="E6" i="4"/>
  <c r="E7" i="4"/>
  <c r="E8" i="4"/>
  <c r="E9" i="4"/>
  <c r="E10" i="4"/>
  <c r="D6" i="1"/>
  <c r="I6" i="1"/>
  <c r="J6" i="7" s="1"/>
  <c r="I7" i="1"/>
  <c r="I8" i="1"/>
  <c r="I9" i="1"/>
  <c r="I10" i="1"/>
  <c r="I11" i="1"/>
  <c r="I12" i="1"/>
  <c r="H11" i="2" s="1"/>
  <c r="J11" i="2" s="1"/>
  <c r="I13" i="1"/>
  <c r="E6" i="1"/>
  <c r="E7" i="1"/>
  <c r="E8" i="1"/>
  <c r="E9" i="1"/>
  <c r="E10" i="1"/>
  <c r="E11" i="1"/>
  <c r="E12" i="1"/>
  <c r="E13" i="1"/>
  <c r="D7" i="1"/>
  <c r="D8" i="1"/>
  <c r="D9" i="1"/>
  <c r="D10" i="1"/>
  <c r="D11" i="1"/>
  <c r="D12" i="1"/>
  <c r="D13" i="1"/>
  <c r="H7" i="7" l="1"/>
  <c r="G11" i="2"/>
  <c r="H9" i="2"/>
  <c r="G9" i="2" s="1"/>
  <c r="H6" i="7"/>
  <c r="H8" i="2"/>
  <c r="G8" i="2" s="1"/>
  <c r="J9" i="7"/>
  <c r="H6" i="2"/>
  <c r="G6" i="2" s="1"/>
  <c r="J8" i="7"/>
  <c r="J7" i="7"/>
  <c r="H9" i="7"/>
  <c r="H8" i="7"/>
  <c r="H6" i="3"/>
  <c r="H7" i="3"/>
  <c r="G6" i="3"/>
  <c r="G7" i="3"/>
  <c r="J10" i="2"/>
  <c r="G10" i="2"/>
  <c r="J7" i="2"/>
  <c r="I12" i="2"/>
  <c r="G8" i="4"/>
  <c r="G7" i="4"/>
  <c r="G9" i="6" s="1"/>
  <c r="G10" i="4"/>
  <c r="G8" i="6" s="1"/>
  <c r="G9" i="4"/>
  <c r="G6" i="6" s="1"/>
  <c r="G6" i="4"/>
  <c r="G7" i="6" s="1"/>
  <c r="I14" i="1"/>
  <c r="J11" i="7" l="1"/>
  <c r="J9" i="2"/>
  <c r="H11" i="7"/>
  <c r="H12" i="2"/>
  <c r="J8" i="2"/>
  <c r="J6" i="2"/>
  <c r="H8" i="3"/>
  <c r="I7" i="3"/>
  <c r="G8" i="3"/>
  <c r="I6" i="3"/>
  <c r="J12" i="2" l="1"/>
  <c r="I8" i="3"/>
</calcChain>
</file>

<file path=xl/sharedStrings.xml><?xml version="1.0" encoding="utf-8"?>
<sst xmlns="http://schemas.openxmlformats.org/spreadsheetml/2006/main" count="152" uniqueCount="85">
  <si>
    <t>DATE</t>
  </si>
  <si>
    <t>DESKRIPSI</t>
  </si>
  <si>
    <t>VENDOR</t>
  </si>
  <si>
    <t>BARANG</t>
  </si>
  <si>
    <t>JUMLAH</t>
  </si>
  <si>
    <t>TOTAL</t>
  </si>
  <si>
    <t>NOMOR</t>
  </si>
  <si>
    <t>TANGGAL</t>
  </si>
  <si>
    <t>KETERANGAN</t>
  </si>
  <si>
    <t>PO</t>
  </si>
  <si>
    <t>KODE</t>
  </si>
  <si>
    <t>NAMA</t>
  </si>
  <si>
    <t>EMAIL</t>
  </si>
  <si>
    <t>V.01</t>
  </si>
  <si>
    <t>V.02</t>
  </si>
  <si>
    <t>UD. Mega Gadget</t>
  </si>
  <si>
    <t>PT. Electro Indo</t>
  </si>
  <si>
    <t>mega@mgadget.com</t>
  </si>
  <si>
    <t>GROUP</t>
  </si>
  <si>
    <t>Smartphone</t>
  </si>
  <si>
    <t>Laptop &amp; Printer</t>
  </si>
  <si>
    <t>Accesories</t>
  </si>
  <si>
    <t>NAMA BARANG</t>
  </si>
  <si>
    <t>INV.01</t>
  </si>
  <si>
    <t>INV.02</t>
  </si>
  <si>
    <t>INV.03</t>
  </si>
  <si>
    <t>INV.04</t>
  </si>
  <si>
    <t>INV.05</t>
  </si>
  <si>
    <t>Gamsung J 20x</t>
  </si>
  <si>
    <t>AiPhone 6 Pro</t>
  </si>
  <si>
    <t>Masus Aspire 335</t>
  </si>
  <si>
    <t>Alienmare X10</t>
  </si>
  <si>
    <t>Charger m55</t>
  </si>
  <si>
    <t>Pemesanan smartphone</t>
  </si>
  <si>
    <t>Pemesanan laptop dan accesories hp</t>
  </si>
  <si>
    <t>PO.3/01</t>
  </si>
  <si>
    <t>PO.3/02</t>
  </si>
  <si>
    <t>PO.5/02</t>
  </si>
  <si>
    <t>Pemesanan accesories hp</t>
  </si>
  <si>
    <t>Q</t>
  </si>
  <si>
    <t>P/Q</t>
  </si>
  <si>
    <t>Total</t>
  </si>
  <si>
    <t>PEMBELIAN</t>
  </si>
  <si>
    <t>Jumlah outstanding</t>
  </si>
  <si>
    <t>IN</t>
  </si>
  <si>
    <t>OUT</t>
  </si>
  <si>
    <t>IN HAND</t>
  </si>
  <si>
    <t>REQUEST BY</t>
  </si>
  <si>
    <t>DO</t>
  </si>
  <si>
    <t>DO.5/01</t>
  </si>
  <si>
    <t>Ari Supardi</t>
  </si>
  <si>
    <t>DO.5/02</t>
  </si>
  <si>
    <t>Nitaria Zhu</t>
  </si>
  <si>
    <t>DO.5/03</t>
  </si>
  <si>
    <t>NO.CHECK</t>
  </si>
  <si>
    <t>BANK</t>
  </si>
  <si>
    <t>PAID BY</t>
  </si>
  <si>
    <t>PO. NUMBER</t>
  </si>
  <si>
    <t>HUTANG</t>
  </si>
  <si>
    <t>DI BAYAR</t>
  </si>
  <si>
    <t>SELISIH</t>
  </si>
  <si>
    <t>BRI</t>
  </si>
  <si>
    <t>Indomaret</t>
  </si>
  <si>
    <t>Sinta</t>
  </si>
  <si>
    <t>Kurniawan</t>
  </si>
  <si>
    <t>PY.BRI.01</t>
  </si>
  <si>
    <t>PY.BRI.02</t>
  </si>
  <si>
    <t>IDOMT.P01</t>
  </si>
  <si>
    <t>PELUNASAN</t>
  </si>
  <si>
    <t>STATUS</t>
  </si>
  <si>
    <t>GROUP BARANG</t>
  </si>
  <si>
    <t>DATA PEMASOK</t>
  </si>
  <si>
    <t>SUPER CELL INDO</t>
  </si>
  <si>
    <t>WA</t>
  </si>
  <si>
    <t>082214979340</t>
  </si>
  <si>
    <t>083334674443</t>
  </si>
  <si>
    <t>electro-admin@ei.com</t>
  </si>
  <si>
    <t>PO.4/01</t>
  </si>
  <si>
    <t>PO.5/03</t>
  </si>
  <si>
    <t>Pemesanan laptop</t>
  </si>
  <si>
    <t>JUM 
PO</t>
  </si>
  <si>
    <t>SISA HUTANG</t>
  </si>
  <si>
    <t>BNI.001</t>
  </si>
  <si>
    <t>BNI</t>
  </si>
  <si>
    <t>PO.5/04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</si>
</sst>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\ mmm\ yyyy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3" borderId="0" xfId="0" applyFont="1" applyFill="1"/>
    <xf numFmtId="0" fontId="5" fillId="3" borderId="0" xfId="0" applyFont="1" applyFill="1"/>
    <xf numFmtId="0" fontId="0" fillId="3" borderId="0" xfId="0" applyFill="1"/>
    <xf numFmtId="165" fontId="0" fillId="0" borderId="0" xfId="0" applyNumberFormat="1" applyFont="1" applyAlignment="1">
      <alignment vertical="center" wrapText="1"/>
    </xf>
    <xf numFmtId="0" fontId="7" fillId="4" borderId="0" xfId="0" applyFont="1" applyFill="1"/>
    <xf numFmtId="0" fontId="0" fillId="4" borderId="0" xfId="0" applyFill="1"/>
    <xf numFmtId="0" fontId="5" fillId="4" borderId="0" xfId="0" applyFont="1" applyFill="1"/>
    <xf numFmtId="0" fontId="2" fillId="0" borderId="0" xfId="2" applyAlignment="1">
      <alignment vertical="center" wrapText="1"/>
    </xf>
    <xf numFmtId="0" fontId="0" fillId="0" borderId="0" xfId="0" quotePrefix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164" formatCode="d\ mmm\ yyyy"/>
    </dxf>
    <dxf>
      <numFmt numFmtId="164" formatCode="d\ mmm\ yyyy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5" formatCode="_(* #,##0_);_(* \(#,##0\);_(* &quot;-&quot;??_);_(@_)"/>
    </dxf>
    <dxf>
      <numFmt numFmtId="0" formatCode="General"/>
    </dxf>
    <dxf>
      <numFmt numFmtId="164" formatCode="d\ mmm\ yyyy"/>
    </dxf>
    <dxf>
      <numFmt numFmtId="164" formatCode="d\ mmm\ yyyy"/>
    </dxf>
    <dxf>
      <alignment horizontal="center" vertical="center" textRotation="0" wrapText="1" indent="0" justifyLastLine="0" shrinkToFit="0" readingOrder="0"/>
    </dxf>
    <dxf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\ mmm\ yyyy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165" formatCode="_(* #,##0_);_(* \(#,##0\);_(* &quot;-&quot;??_);_(@_)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\ mmm\ yyyy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 vertical="center" textRotation="0" wrapText="0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165" formatCode="_(* #,##0_);_(* \(#,##0\);_(* &quot;-&quot;??_);_(@_)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VEND" displayName="VEND" ref="B5:I8" totalsRowCount="1" headerRowDxfId="79" dataDxfId="78">
  <autoFilter ref="B5:I7"/>
  <tableColumns count="8">
    <tableColumn id="1" name="KODE" totalsRowLabel="Total" dataDxfId="77" totalsRowDxfId="7"/>
    <tableColumn id="2" name="NAMA" dataDxfId="76" totalsRowDxfId="6"/>
    <tableColumn id="3" name="EMAIL" dataDxfId="75" totalsRowDxfId="5"/>
    <tableColumn id="4" name="WA" dataDxfId="74" totalsRowDxfId="4"/>
    <tableColumn id="5" name="JUM _x000a_PO" dataDxfId="73" totalsRowDxfId="3">
      <calculatedColumnFormula>COUNTIF(PO[VENDOR],VEND[[#This Row],[NAMA]])</calculatedColumnFormula>
    </tableColumn>
    <tableColumn id="6" name="PEMBELIAN" totalsRowFunction="sum" dataDxfId="72" totalsRowDxfId="2" dataCellStyle="Comma">
      <calculatedColumnFormula>SUMIF(PURC[VENDOR],VEND[[#This Row],[NAMA]],PURC[TOTAL])</calculatedColumnFormula>
    </tableColumn>
    <tableColumn id="7" name="PELUNASAN" totalsRowFunction="sum" dataDxfId="71" totalsRowDxfId="1" dataCellStyle="Comma">
      <calculatedColumnFormula>SUMIF(SETT[VENDOR],VEND[[#This Row],[NAMA]],SETT[DI BAYAR])</calculatedColumnFormula>
    </tableColumn>
    <tableColumn id="8" name="SISA HUTANG" totalsRowFunction="sum" dataDxfId="70" totalsRowDxfId="0" dataCellStyle="Comma">
      <calculatedColumnFormula>VEND[[#This Row],[PEMBELIAN]]-VEND[[#This Row],[PELUNASAN]]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4" name="GROUP" displayName="GROUP" ref="B5:C8" totalsRowShown="0">
  <autoFilter ref="B5:C8"/>
  <tableColumns count="2">
    <tableColumn id="1" name="KODE"/>
    <tableColumn id="2" name="GROUP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INVT" displayName="INVT" ref="B5:G10" totalsRowShown="0" headerRowDxfId="69">
  <autoFilter ref="B5:G10"/>
  <tableColumns count="6">
    <tableColumn id="1" name="KODE"/>
    <tableColumn id="2" name="NAMA BARANG"/>
    <tableColumn id="3" name="GROUP"/>
    <tableColumn id="4" name="IN" dataDxfId="68" dataCellStyle="Comma">
      <calculatedColumnFormula>SUMIF(PURC[BARANG],INVT[[#This Row],[NAMA BARANG]],PURC[Q])</calculatedColumnFormula>
    </tableColumn>
    <tableColumn id="5" name="OUT" dataDxfId="67" dataCellStyle="Comma">
      <calculatedColumnFormula>SUMIF(OUT[BARANG],INVT[[#This Row],[NAMA BARANG]],OUT[Q])</calculatedColumnFormula>
    </tableColumn>
    <tableColumn id="6" name="IN HAND" dataDxfId="66" dataCellStyle="Comma">
      <calculatedColumnFormula>INVT[[#This Row],[IN]]-INVT[[#This Row],[OUT]]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2" name="PO" displayName="PO" ref="B5:J12" totalsRowCount="1" headerRowDxfId="65" dataDxfId="64" totalsRowDxfId="63">
  <autoFilter ref="B5:J11"/>
  <tableColumns count="9">
    <tableColumn id="1" name="NOMOR" totalsRowLabel="Jumlah outstanding" dataDxfId="62" totalsRowDxfId="61"/>
    <tableColumn id="2" name="TANGGAL" dataDxfId="60" totalsRowDxfId="59"/>
    <tableColumn id="3" name="VENDOR" dataDxfId="58" totalsRowDxfId="57"/>
    <tableColumn id="4" name="JUMLAH" dataDxfId="56" totalsRowDxfId="55" dataCellStyle="Comma"/>
    <tableColumn id="5" name="KETERANGAN" dataDxfId="54" totalsRowDxfId="53"/>
    <tableColumn id="8" name="STATUS" dataDxfId="52" totalsRowDxfId="51">
      <calculatedColumnFormula>IF(PO[[#This Row],[NOMOR]]&lt;&gt;"",IF(PO[[#This Row],[PEMBELIAN]]="","Outstanding","Ok"),"")</calculatedColumnFormula>
    </tableColumn>
    <tableColumn id="6" name="PEMBELIAN" totalsRowFunction="sum" dataDxfId="50" totalsRowDxfId="49" dataCellStyle="Comma">
      <calculatedColumnFormula>IF(SUMIF(PURC[PO],PO[[#This Row],[NOMOR]],PURC[TOTAL])&gt;0,SUMIF(PURC[PO],PO[[#This Row],[NOMOR]],PURC[TOTAL]),"")</calculatedColumnFormula>
    </tableColumn>
    <tableColumn id="7" name="PELUNASAN" totalsRowFunction="sum" dataDxfId="48" totalsRowDxfId="47" dataCellStyle="Comma">
      <calculatedColumnFormula>IF(PO[[#This Row],[NOMOR]]&lt;&gt;"",SUMIF(SETT[PO. NUMBER],PO[[#This Row],[NOMOR]],SETT[DI BAYAR]),"")</calculatedColumnFormula>
    </tableColumn>
    <tableColumn id="9" name="HUTANG" totalsRowFunction="sum" dataDxfId="46" totalsRowDxfId="45" dataCellStyle="Comma">
      <calculatedColumnFormula>IFERROR(PO[[#This Row],[PEMBELIAN]]-PO[[#This Row],[PELUNASAN]],"")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1" name="PURC" displayName="PURC" ref="B5:I14" totalsRowCount="1" headerRowDxfId="44" dataDxfId="43" totalsRowDxfId="42">
  <autoFilter ref="B5:I13"/>
  <tableColumns count="8">
    <tableColumn id="1" name="DATE" totalsRowLabel="Total" dataDxfId="41" totalsRowDxfId="40"/>
    <tableColumn id="8" name="PO" dataDxfId="39" totalsRowDxfId="38"/>
    <tableColumn id="2" name="DESKRIPSI" dataDxfId="37" totalsRowDxfId="36">
      <calculatedColumnFormula>_xlfn.IFNA(VLOOKUP(PURC[PO],PO[],5,FALSE),"")</calculatedColumnFormula>
    </tableColumn>
    <tableColumn id="3" name="VENDOR" dataDxfId="35" totalsRowDxfId="34">
      <calculatedColumnFormula>_xlfn.IFNA(VLOOKUP(PURC[PO],PO[],3,FALSE),"")</calculatedColumnFormula>
    </tableColumn>
    <tableColumn id="4" name="BARANG" dataDxfId="33" totalsRowDxfId="32"/>
    <tableColumn id="5" name="Q" dataDxfId="31" totalsRowDxfId="30" dataCellStyle="Comma"/>
    <tableColumn id="6" name="P/Q" dataDxfId="29" totalsRowDxfId="28" dataCellStyle="Comma"/>
    <tableColumn id="7" name="TOTAL" totalsRowFunction="sum" dataDxfId="27" totalsRowDxfId="26" dataCellStyle="Comma">
      <calculatedColumnFormula>IF((PURC[[#This Row],[Q]]*PURC[[#This Row],[P/Q]])&lt;&gt;0,PURC[P/Q]*PURC[Q],"")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6" name="OUT" displayName="OUT" ref="B5:G12" headerRowDxfId="25">
  <autoFilter ref="B5:G12"/>
  <tableColumns count="6">
    <tableColumn id="1" name="DATE" totalsRowLabel="Total" dataDxfId="24"/>
    <tableColumn id="9" name="DO" dataDxfId="23"/>
    <tableColumn id="3" name="REQUEST BY" dataDxfId="22"/>
    <tableColumn id="4" name="BARANG"/>
    <tableColumn id="5" name="Q" dataDxfId="21" totalsRowDxfId="20" dataCellStyle="Comma"/>
    <tableColumn id="11" name="IN HAND" dataDxfId="19">
      <calculatedColumnFormula>_xlfn.IFNA(VLOOKUP(OUT[[#This Row],[BARANG]],INVT[[NAMA BARANG]:[IN HAND]],5,FALSE),"")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7" name="SETT" displayName="SETT" ref="B5:J11" totalsRowCount="1" headerRowDxfId="18">
  <autoFilter ref="B5:J10"/>
  <tableColumns count="9">
    <tableColumn id="1" name="DATE" totalsRowLabel="Total" dataDxfId="17"/>
    <tableColumn id="9" name="NO.CHECK" dataDxfId="16"/>
    <tableColumn id="3" name="BANK" dataDxfId="15"/>
    <tableColumn id="4" name="PAID BY"/>
    <tableColumn id="12" name="PO. NUMBER"/>
    <tableColumn id="16" name="VENDOR" dataDxfId="14">
      <calculatedColumnFormula>_xlfn.IFNA(VLOOKUP(SETT[[#This Row],[PO. NUMBER]],PO[[NOMOR]:[VENDOR]],3,FALSE),"")</calculatedColumnFormula>
    </tableColumn>
    <tableColumn id="13" name="HUTANG" totalsRowFunction="sum" dataDxfId="13" totalsRowDxfId="12" dataCellStyle="Comma">
      <calculatedColumnFormula>IF(SUMIF(PURC[[PO]:[TOTAL]],SETT[[#This Row],[PO. NUMBER]],PURC[TOTAL])&lt;&gt;0,SUMIF(PURC[[PO]:[TOTAL]],SETT[[#This Row],[PO. NUMBER]],PURC[TOTAL]),"")</calculatedColumnFormula>
    </tableColumn>
    <tableColumn id="14" name="DI BAYAR" totalsRowFunction="sum" dataDxfId="11" totalsRowDxfId="10" dataCellStyle="Comma"/>
    <tableColumn id="15" name="SELISIH" totalsRowFunction="sum" dataDxfId="9" totalsRowDxfId="8" dataCellStyle="Comma">
      <calculatedColumnFormula>IF(SETT[[#This Row],[PO. NUMBER]]&lt;&gt;"",SUMIF(PURC[[PO]:[TOTAL]],SETT[[#This Row],[PO. NUMBER]],PURC[TOTAL])-SUMIF(SETT[PO. NUMBER],SETT[[#This Row],[PO. NUMBER]],SETT[DI BAYAR]),"")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lectro-admin@ei.com" TargetMode="External"/><Relationship Id="rId1" Type="http://schemas.openxmlformats.org/officeDocument/2006/relationships/hyperlink" Target="mailto:mega@mgadg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zoomScale="145" zoomScaleNormal="14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2" sqref="C12"/>
    </sheetView>
  </sheetViews>
  <sheetFormatPr defaultColWidth="9" defaultRowHeight="15" x14ac:dyDescent="0.25"/>
  <cols>
    <col min="1" max="1" width="0.42578125" style="9" customWidth="1"/>
    <col min="2" max="2" width="8" style="9" customWidth="1"/>
    <col min="3" max="3" width="20.85546875" style="9" customWidth="1"/>
    <col min="4" max="4" width="18.42578125" style="9" bestFit="1" customWidth="1"/>
    <col min="5" max="5" width="14.140625" style="9" customWidth="1"/>
    <col min="6" max="6" width="6.42578125" style="9" customWidth="1"/>
    <col min="7" max="9" width="14.140625" style="9" customWidth="1"/>
    <col min="10" max="16384" width="9" style="9"/>
  </cols>
  <sheetData>
    <row r="1" spans="2:9" customFormat="1" ht="2.25" customHeight="1" x14ac:dyDescent="0.25"/>
    <row r="2" spans="2:9" customFormat="1" ht="18.75" x14ac:dyDescent="0.3">
      <c r="B2" s="18" t="s">
        <v>72</v>
      </c>
      <c r="C2" s="17"/>
      <c r="D2" s="17"/>
      <c r="E2" s="17"/>
      <c r="F2" s="17"/>
      <c r="G2" s="17"/>
      <c r="H2" s="17"/>
      <c r="I2" s="17"/>
    </row>
    <row r="3" spans="2:9" customFormat="1" x14ac:dyDescent="0.25">
      <c r="B3" s="16" t="s">
        <v>71</v>
      </c>
      <c r="C3" s="17"/>
      <c r="D3" s="17"/>
      <c r="E3" s="17"/>
      <c r="F3" s="17"/>
      <c r="G3" s="17"/>
      <c r="H3" s="17"/>
      <c r="I3" s="17"/>
    </row>
    <row r="4" spans="2:9" customFormat="1" ht="3" customHeight="1" x14ac:dyDescent="0.25"/>
    <row r="5" spans="2:9" ht="30" x14ac:dyDescent="0.25">
      <c r="B5" s="4" t="s">
        <v>10</v>
      </c>
      <c r="C5" s="4" t="s">
        <v>11</v>
      </c>
      <c r="D5" s="4" t="s">
        <v>12</v>
      </c>
      <c r="E5" s="4" t="s">
        <v>73</v>
      </c>
      <c r="F5" s="5" t="s">
        <v>80</v>
      </c>
      <c r="G5" s="4" t="s">
        <v>42</v>
      </c>
      <c r="H5" s="4" t="s">
        <v>68</v>
      </c>
      <c r="I5" s="4" t="s">
        <v>81</v>
      </c>
    </row>
    <row r="6" spans="2:9" x14ac:dyDescent="0.25">
      <c r="B6" s="9" t="s">
        <v>13</v>
      </c>
      <c r="C6" s="9" t="s">
        <v>15</v>
      </c>
      <c r="D6" s="26" t="s">
        <v>17</v>
      </c>
      <c r="E6" s="27" t="s">
        <v>75</v>
      </c>
      <c r="F6" s="9">
        <f>COUNTIF(PO[VENDOR],VEND[[#This Row],[NAMA]])</f>
        <v>3</v>
      </c>
      <c r="G6" s="11">
        <f>SUMIF(PURC[VENDOR],VEND[[#This Row],[NAMA]],PURC[TOTAL])</f>
        <v>87000000</v>
      </c>
      <c r="H6" s="11">
        <f>SUMIF(SETT[VENDOR],VEND[[#This Row],[NAMA]],SETT[DI BAYAR])</f>
        <v>51000000</v>
      </c>
      <c r="I6" s="11">
        <f>VEND[[#This Row],[PEMBELIAN]]-VEND[[#This Row],[PELUNASAN]]</f>
        <v>36000000</v>
      </c>
    </row>
    <row r="7" spans="2:9" x14ac:dyDescent="0.25">
      <c r="B7" s="9" t="s">
        <v>14</v>
      </c>
      <c r="C7" s="9" t="s">
        <v>16</v>
      </c>
      <c r="D7" s="26" t="s">
        <v>76</v>
      </c>
      <c r="E7" s="27" t="s">
        <v>74</v>
      </c>
      <c r="F7" s="9">
        <f>COUNTIF(PO[VENDOR],VEND[[#This Row],[NAMA]])</f>
        <v>3</v>
      </c>
      <c r="G7" s="11">
        <f>SUMIF(PURC[VENDOR],VEND[[#This Row],[NAMA]],PURC[TOTAL])</f>
        <v>125535000</v>
      </c>
      <c r="H7" s="11">
        <f>SUMIF(SETT[VENDOR],VEND[[#This Row],[NAMA]],SETT[DI BAYAR])</f>
        <v>50000000</v>
      </c>
      <c r="I7" s="11">
        <f>VEND[[#This Row],[PEMBELIAN]]-VEND[[#This Row],[PELUNASAN]]</f>
        <v>75535000</v>
      </c>
    </row>
    <row r="8" spans="2:9" x14ac:dyDescent="0.25">
      <c r="B8" s="9" t="s">
        <v>41</v>
      </c>
      <c r="G8" s="11">
        <f>SUBTOTAL(109,VEND[PEMBELIAN])</f>
        <v>212535000</v>
      </c>
      <c r="H8" s="11">
        <f>SUBTOTAL(109,VEND[PELUNASAN])</f>
        <v>101000000</v>
      </c>
      <c r="I8" s="11">
        <f>SUBTOTAL(109,VEND[SISA HUTANG])</f>
        <v>111535000</v>
      </c>
    </row>
  </sheetData>
  <hyperlinks>
    <hyperlink ref="D6" r:id="rId1"/>
    <hyperlink ref="D7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zoomScale="220" zoomScaleNormal="2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5" x14ac:dyDescent="0.25"/>
  <cols>
    <col min="1" max="1" width="0.28515625" customWidth="1"/>
    <col min="2" max="2" width="6" customWidth="1"/>
    <col min="3" max="3" width="31" customWidth="1"/>
  </cols>
  <sheetData>
    <row r="1" spans="2:3" ht="1.5" customHeight="1" x14ac:dyDescent="0.25"/>
    <row r="2" spans="2:3" ht="18.75" x14ac:dyDescent="0.3">
      <c r="B2" s="18" t="s">
        <v>72</v>
      </c>
      <c r="C2" s="15"/>
    </row>
    <row r="3" spans="2:3" x14ac:dyDescent="0.25">
      <c r="B3" s="16" t="s">
        <v>70</v>
      </c>
      <c r="C3" s="15"/>
    </row>
    <row r="4" spans="2:3" ht="2.25" customHeight="1" x14ac:dyDescent="0.25"/>
    <row r="5" spans="2:3" x14ac:dyDescent="0.25">
      <c r="B5" t="s">
        <v>10</v>
      </c>
      <c r="C5" t="s">
        <v>18</v>
      </c>
    </row>
    <row r="6" spans="2:3" x14ac:dyDescent="0.25">
      <c r="B6">
        <v>1</v>
      </c>
      <c r="C6" t="s">
        <v>19</v>
      </c>
    </row>
    <row r="7" spans="2:3" x14ac:dyDescent="0.25">
      <c r="B7">
        <v>2</v>
      </c>
      <c r="C7" t="s">
        <v>20</v>
      </c>
    </row>
    <row r="8" spans="2:3" x14ac:dyDescent="0.25">
      <c r="B8">
        <v>3</v>
      </c>
      <c r="C8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9" sqref="C9"/>
    </sheetView>
  </sheetViews>
  <sheetFormatPr defaultRowHeight="15" x14ac:dyDescent="0.25"/>
  <cols>
    <col min="1" max="1" width="0.42578125" customWidth="1"/>
    <col min="2" max="2" width="10.28515625" customWidth="1"/>
    <col min="3" max="3" width="30.140625" customWidth="1"/>
    <col min="4" max="4" width="26.85546875" customWidth="1"/>
  </cols>
  <sheetData>
    <row r="1" spans="2:7" ht="1.5" customHeight="1" x14ac:dyDescent="0.25"/>
    <row r="2" spans="2:7" ht="18.75" x14ac:dyDescent="0.3">
      <c r="B2" s="19" t="s">
        <v>72</v>
      </c>
      <c r="C2" s="21"/>
      <c r="D2" s="21"/>
      <c r="E2" s="21"/>
      <c r="F2" s="21"/>
      <c r="G2" s="21"/>
    </row>
    <row r="3" spans="2:7" x14ac:dyDescent="0.25">
      <c r="B3" s="20" t="s">
        <v>70</v>
      </c>
      <c r="C3" s="21"/>
      <c r="D3" s="21"/>
      <c r="E3" s="21"/>
      <c r="F3" s="21"/>
      <c r="G3" s="21"/>
    </row>
    <row r="4" spans="2:7" ht="2.25" customHeight="1" x14ac:dyDescent="0.25"/>
    <row r="5" spans="2:7" x14ac:dyDescent="0.25">
      <c r="B5" s="7" t="s">
        <v>10</v>
      </c>
      <c r="C5" s="7" t="s">
        <v>22</v>
      </c>
      <c r="D5" s="7" t="s">
        <v>18</v>
      </c>
      <c r="E5" s="7" t="s">
        <v>44</v>
      </c>
      <c r="F5" s="7" t="s">
        <v>45</v>
      </c>
      <c r="G5" s="7" t="s">
        <v>46</v>
      </c>
    </row>
    <row r="6" spans="2:7" x14ac:dyDescent="0.25">
      <c r="B6" t="s">
        <v>23</v>
      </c>
      <c r="C6" t="s">
        <v>28</v>
      </c>
      <c r="D6" t="s">
        <v>19</v>
      </c>
      <c r="E6" s="2">
        <f>SUMIF(PURC[BARANG],INVT[[#This Row],[NAMA BARANG]],PURC[Q])</f>
        <v>10</v>
      </c>
      <c r="F6" s="2">
        <f>SUMIF(OUT[BARANG],INVT[[#This Row],[NAMA BARANG]],OUT[Q])</f>
        <v>5</v>
      </c>
      <c r="G6" s="2">
        <f>INVT[[#This Row],[IN]]-INVT[[#This Row],[OUT]]</f>
        <v>5</v>
      </c>
    </row>
    <row r="7" spans="2:7" x14ac:dyDescent="0.25">
      <c r="B7" t="s">
        <v>24</v>
      </c>
      <c r="C7" t="s">
        <v>30</v>
      </c>
      <c r="D7" t="s">
        <v>20</v>
      </c>
      <c r="E7" s="2">
        <f>SUMIF(PURC[BARANG],INVT[[#This Row],[NAMA BARANG]],PURC[Q])</f>
        <v>9</v>
      </c>
      <c r="F7" s="2">
        <f>SUMIF(OUT[BARANG],INVT[[#This Row],[NAMA BARANG]],OUT[Q])</f>
        <v>4</v>
      </c>
      <c r="G7" s="2">
        <f>INVT[[#This Row],[IN]]-INVT[[#This Row],[OUT]]</f>
        <v>5</v>
      </c>
    </row>
    <row r="8" spans="2:7" x14ac:dyDescent="0.25">
      <c r="B8" t="s">
        <v>25</v>
      </c>
      <c r="C8" t="s">
        <v>32</v>
      </c>
      <c r="D8" t="s">
        <v>21</v>
      </c>
      <c r="E8" s="2">
        <f>SUMIF(PURC[BARANG],INVT[[#This Row],[NAMA BARANG]],PURC[Q])</f>
        <v>7</v>
      </c>
      <c r="F8" s="2">
        <f>SUMIF(OUT[BARANG],INVT[[#This Row],[NAMA BARANG]],OUT[Q])</f>
        <v>0</v>
      </c>
      <c r="G8" s="2">
        <f>INVT[[#This Row],[IN]]-INVT[[#This Row],[OUT]]</f>
        <v>7</v>
      </c>
    </row>
    <row r="9" spans="2:7" x14ac:dyDescent="0.25">
      <c r="B9" t="s">
        <v>26</v>
      </c>
      <c r="C9" t="s">
        <v>29</v>
      </c>
      <c r="D9" t="s">
        <v>19</v>
      </c>
      <c r="E9" s="2">
        <f>SUMIF(PURC[BARANG],INVT[[#This Row],[NAMA BARANG]],PURC[Q])</f>
        <v>16</v>
      </c>
      <c r="F9" s="2">
        <f>SUMIF(OUT[BARANG],INVT[[#This Row],[NAMA BARANG]],OUT[Q])</f>
        <v>5</v>
      </c>
      <c r="G9" s="2">
        <f>INVT[[#This Row],[IN]]-INVT[[#This Row],[OUT]]</f>
        <v>11</v>
      </c>
    </row>
    <row r="10" spans="2:7" x14ac:dyDescent="0.25">
      <c r="B10" t="s">
        <v>27</v>
      </c>
      <c r="C10" t="s">
        <v>31</v>
      </c>
      <c r="D10" t="s">
        <v>20</v>
      </c>
      <c r="E10" s="2">
        <f>SUMIF(PURC[BARANG],INVT[[#This Row],[NAMA BARANG]],PURC[Q])</f>
        <v>3</v>
      </c>
      <c r="F10" s="2">
        <f>SUMIF(OUT[BARANG],INVT[[#This Row],[NAMA BARANG]],OUT[Q])</f>
        <v>1</v>
      </c>
      <c r="G10" s="2">
        <f>INVT[[#This Row],[IN]]-INVT[[#This Row],[OUT]]</f>
        <v>2</v>
      </c>
    </row>
  </sheetData>
  <dataValidations count="1">
    <dataValidation type="list" allowBlank="1" showInputMessage="1" showErrorMessage="1" sqref="D6:D10">
      <formula1>_group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zoomScale="115" zoomScaleNormal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9" sqref="F9"/>
    </sheetView>
  </sheetViews>
  <sheetFormatPr defaultColWidth="9" defaultRowHeight="15" x14ac:dyDescent="0.25"/>
  <cols>
    <col min="1" max="1" width="0.42578125" style="9" customWidth="1"/>
    <col min="2" max="2" width="10.28515625" style="9" customWidth="1"/>
    <col min="3" max="3" width="14.28515625" style="9" bestFit="1" customWidth="1"/>
    <col min="4" max="4" width="20.42578125" style="9" customWidth="1"/>
    <col min="5" max="5" width="13.140625" style="9" bestFit="1" customWidth="1"/>
    <col min="6" max="6" width="32.140625" style="9" customWidth="1"/>
    <col min="7" max="7" width="11" style="9" customWidth="1"/>
    <col min="8" max="10" width="14.28515625" style="9" customWidth="1"/>
    <col min="11" max="16384" width="9" style="9"/>
  </cols>
  <sheetData>
    <row r="1" spans="2:10" customFormat="1" ht="2.25" customHeight="1" x14ac:dyDescent="0.25"/>
    <row r="2" spans="2:10" customFormat="1" ht="18.75" x14ac:dyDescent="0.3">
      <c r="B2" s="23" t="s">
        <v>72</v>
      </c>
      <c r="C2" s="24"/>
      <c r="D2" s="24"/>
      <c r="E2" s="24"/>
      <c r="F2" s="24"/>
      <c r="G2" s="24"/>
      <c r="H2" s="24"/>
      <c r="I2" s="24"/>
      <c r="J2" s="24"/>
    </row>
    <row r="3" spans="2:10" customFormat="1" x14ac:dyDescent="0.25">
      <c r="B3" s="25" t="s">
        <v>70</v>
      </c>
      <c r="C3" s="24"/>
      <c r="D3" s="24"/>
      <c r="E3" s="24"/>
      <c r="F3" s="24"/>
      <c r="G3" s="24"/>
      <c r="H3" s="24"/>
      <c r="I3" s="24"/>
      <c r="J3" s="24"/>
    </row>
    <row r="4" spans="2:10" customFormat="1" ht="2.25" customHeight="1" x14ac:dyDescent="0.25"/>
    <row r="5" spans="2:10" x14ac:dyDescent="0.25">
      <c r="B5" s="4" t="s">
        <v>6</v>
      </c>
      <c r="C5" s="4" t="s">
        <v>7</v>
      </c>
      <c r="D5" s="4" t="s">
        <v>2</v>
      </c>
      <c r="E5" s="4" t="s">
        <v>4</v>
      </c>
      <c r="F5" s="4" t="s">
        <v>8</v>
      </c>
      <c r="G5" s="4" t="s">
        <v>69</v>
      </c>
      <c r="H5" s="4" t="s">
        <v>42</v>
      </c>
      <c r="I5" s="4" t="s">
        <v>68</v>
      </c>
      <c r="J5" s="4" t="s">
        <v>58</v>
      </c>
    </row>
    <row r="6" spans="2:10" x14ac:dyDescent="0.25">
      <c r="B6" s="9" t="s">
        <v>35</v>
      </c>
      <c r="C6" s="10">
        <v>43899</v>
      </c>
      <c r="D6" s="14" t="s">
        <v>15</v>
      </c>
      <c r="E6" s="11">
        <v>22500000</v>
      </c>
      <c r="F6" s="14" t="s">
        <v>33</v>
      </c>
      <c r="G6" s="9" t="str">
        <f>IF(PO[[#This Row],[NOMOR]]&lt;&gt;"",IF(PO[[#This Row],[PEMBELIAN]]="","Outstanding","Ok"),"")</f>
        <v>Ok</v>
      </c>
      <c r="H6" s="11">
        <f>IF(SUMIF(PURC[PO],PO[[#This Row],[NOMOR]],PURC[TOTAL])&gt;0,SUMIF(PURC[PO],PO[[#This Row],[NOMOR]],PURC[TOTAL]),"")</f>
        <v>22500000</v>
      </c>
      <c r="I6" s="11">
        <f>IF(PO[[#This Row],[NOMOR]]&lt;&gt;"",SUMIF(SETT[PO. NUMBER],PO[[#This Row],[NOMOR]],SETT[DI BAYAR]),"")</f>
        <v>22500000</v>
      </c>
      <c r="J6" s="11">
        <f>IFERROR(PO[[#This Row],[PEMBELIAN]]-PO[[#This Row],[PELUNASAN]],"")</f>
        <v>0</v>
      </c>
    </row>
    <row r="7" spans="2:10" x14ac:dyDescent="0.25">
      <c r="B7" s="9" t="s">
        <v>36</v>
      </c>
      <c r="C7" s="10">
        <v>43907</v>
      </c>
      <c r="D7" s="14" t="s">
        <v>16</v>
      </c>
      <c r="E7" s="11">
        <v>3500000</v>
      </c>
      <c r="F7" s="14" t="s">
        <v>38</v>
      </c>
      <c r="G7" s="9" t="str">
        <f>IF(PO[[#This Row],[NOMOR]]&lt;&gt;"",IF(PO[[#This Row],[PEMBELIAN]]="","Outstanding","Ok"),"")</f>
        <v>Outstanding</v>
      </c>
      <c r="H7" s="11" t="str">
        <f>IF(SUMIF(PURC[PO],PO[[#This Row],[NOMOR]],PURC[TOTAL])&gt;0,SUMIF(PURC[PO],PO[[#This Row],[NOMOR]],PURC[TOTAL]),"")</f>
        <v/>
      </c>
      <c r="I7" s="11">
        <f>IF(PO[[#This Row],[NOMOR]]&lt;&gt;"",SUMIF(SETT[PO. NUMBER],PO[[#This Row],[NOMOR]],SETT[DI BAYAR]),"")</f>
        <v>0</v>
      </c>
      <c r="J7" s="11" t="str">
        <f>IFERROR(PO[[#This Row],[PEMBELIAN]]-PO[[#This Row],[PELUNASAN]],"")</f>
        <v/>
      </c>
    </row>
    <row r="8" spans="2:10" x14ac:dyDescent="0.25">
      <c r="B8" s="9" t="s">
        <v>77</v>
      </c>
      <c r="C8" s="10">
        <v>43928</v>
      </c>
      <c r="D8" s="14" t="s">
        <v>15</v>
      </c>
      <c r="E8" s="11">
        <v>28500000</v>
      </c>
      <c r="F8" s="14" t="s">
        <v>33</v>
      </c>
      <c r="G8" s="9" t="str">
        <f>IF(PO[[#This Row],[NOMOR]]&lt;&gt;"",IF(PO[[#This Row],[PEMBELIAN]]="","Outstanding","Ok"),"")</f>
        <v>Ok</v>
      </c>
      <c r="H8" s="11">
        <f>IF(SUMIF(PURC[PO],PO[[#This Row],[NOMOR]],PURC[TOTAL])&gt;0,SUMIF(PURC[PO],PO[[#This Row],[NOMOR]],PURC[TOTAL]),"")</f>
        <v>28500000</v>
      </c>
      <c r="I8" s="11">
        <f>IF(PO[[#This Row],[NOMOR]]&lt;&gt;"",SUMIF(SETT[PO. NUMBER],PO[[#This Row],[NOMOR]],SETT[DI BAYAR]),"")</f>
        <v>28500000</v>
      </c>
      <c r="J8" s="11">
        <f>IFERROR(PO[[#This Row],[PEMBELIAN]]-PO[[#This Row],[PELUNASAN]],"")</f>
        <v>0</v>
      </c>
    </row>
    <row r="9" spans="2:10" x14ac:dyDescent="0.25">
      <c r="B9" s="9" t="s">
        <v>37</v>
      </c>
      <c r="C9" s="10">
        <v>43952</v>
      </c>
      <c r="D9" s="14" t="s">
        <v>16</v>
      </c>
      <c r="E9" s="11">
        <v>125535000</v>
      </c>
      <c r="F9" s="14" t="s">
        <v>34</v>
      </c>
      <c r="G9" s="9" t="str">
        <f>IF(PO[[#This Row],[NOMOR]]&lt;&gt;"",IF(PO[[#This Row],[PEMBELIAN]]="","Outstanding","Ok"),"")</f>
        <v>Ok</v>
      </c>
      <c r="H9" s="11">
        <f>IF(SUMIF(PURC[PO],PO[[#This Row],[NOMOR]],PURC[TOTAL])&gt;0,SUMIF(PURC[PO],PO[[#This Row],[NOMOR]],PURC[TOTAL]),"")</f>
        <v>125535000</v>
      </c>
      <c r="I9" s="11">
        <f>IF(PO[[#This Row],[NOMOR]]&lt;&gt;"",SUMIF(SETT[PO. NUMBER],PO[[#This Row],[NOMOR]],SETT[DI BAYAR]),"")</f>
        <v>50000000</v>
      </c>
      <c r="J9" s="11">
        <f>IFERROR(PO[[#This Row],[PEMBELIAN]]-PO[[#This Row],[PELUNASAN]],"")</f>
        <v>75535000</v>
      </c>
    </row>
    <row r="10" spans="2:10" x14ac:dyDescent="0.25">
      <c r="B10" s="9" t="s">
        <v>78</v>
      </c>
      <c r="C10" s="10">
        <v>43953</v>
      </c>
      <c r="D10" s="14" t="s">
        <v>16</v>
      </c>
      <c r="E10" s="11"/>
      <c r="F10" s="14" t="s">
        <v>79</v>
      </c>
      <c r="G10" s="9" t="str">
        <f>IF(PO[[#This Row],[NOMOR]]&lt;&gt;"",IF(PO[[#This Row],[PEMBELIAN]]="","Outstanding","Ok"),"")</f>
        <v>Outstanding</v>
      </c>
      <c r="H10" s="11" t="str">
        <f>IF(SUMIF(PURC[PO],PO[[#This Row],[NOMOR]],PURC[TOTAL])&gt;0,SUMIF(PURC[PO],PO[[#This Row],[NOMOR]],PURC[TOTAL]),"")</f>
        <v/>
      </c>
      <c r="I10" s="11">
        <f>IF(PO[[#This Row],[NOMOR]]&lt;&gt;"",SUMIF(SETT[PO. NUMBER],PO[[#This Row],[NOMOR]],SETT[DI BAYAR]),"")</f>
        <v>0</v>
      </c>
      <c r="J10" s="11" t="str">
        <f>IFERROR(PO[[#This Row],[PEMBELIAN]]-PO[[#This Row],[PELUNASAN]],"")</f>
        <v/>
      </c>
    </row>
    <row r="11" spans="2:10" x14ac:dyDescent="0.25">
      <c r="B11" s="9" t="s">
        <v>84</v>
      </c>
      <c r="C11" s="10">
        <v>43955</v>
      </c>
      <c r="D11" s="14" t="s">
        <v>15</v>
      </c>
      <c r="E11" s="11">
        <v>36000000</v>
      </c>
      <c r="F11" s="14" t="s">
        <v>33</v>
      </c>
      <c r="G11" s="9" t="str">
        <f>IF(PO[[#This Row],[NOMOR]]&lt;&gt;"",IF(PO[[#This Row],[PEMBELIAN]]="","Outstanding","Ok"),"")</f>
        <v>Ok</v>
      </c>
      <c r="H11" s="11">
        <f>IF(SUMIF(PURC[PO],PO[[#This Row],[NOMOR]],PURC[TOTAL])&gt;0,SUMIF(PURC[PO],PO[[#This Row],[NOMOR]],PURC[TOTAL]),"")</f>
        <v>36000000</v>
      </c>
      <c r="I11" s="11">
        <f>IF(PO[[#This Row],[NOMOR]]&lt;&gt;"",SUMIF(SETT[PO. NUMBER],PO[[#This Row],[NOMOR]],SETT[DI BAYAR]),"")</f>
        <v>0</v>
      </c>
      <c r="J11" s="11">
        <f>IFERROR(PO[[#This Row],[PEMBELIAN]]-PO[[#This Row],[PELUNASAN]],"")</f>
        <v>36000000</v>
      </c>
    </row>
    <row r="12" spans="2:10" x14ac:dyDescent="0.25">
      <c r="B12" s="8" t="s">
        <v>43</v>
      </c>
      <c r="E12" s="12"/>
      <c r="H12" s="13">
        <f>SUBTOTAL(109,PO[PEMBELIAN])</f>
        <v>212535000</v>
      </c>
      <c r="I12" s="22">
        <f>SUBTOTAL(109,PO[PELUNASAN])</f>
        <v>101000000</v>
      </c>
      <c r="J12" s="13">
        <f>SUBTOTAL(109,PO[HUTANG])</f>
        <v>111535000</v>
      </c>
    </row>
  </sheetData>
  <dataValidations count="1">
    <dataValidation type="list" allowBlank="1" showInputMessage="1" showErrorMessage="1" sqref="D6:D11">
      <formula1>_vendor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zoomScale="130" zoomScaleNormal="130" workbookViewId="0">
      <pane xSplit="3" ySplit="5" topLeftCell="E6" activePane="bottomRight" state="frozen"/>
      <selection pane="topRight" activeCell="D1" sqref="D1"/>
      <selection pane="bottomLeft" activeCell="A6" sqref="A6"/>
      <selection pane="bottomRight" activeCell="B10" sqref="B10"/>
    </sheetView>
  </sheetViews>
  <sheetFormatPr defaultColWidth="9" defaultRowHeight="15" x14ac:dyDescent="0.25"/>
  <cols>
    <col min="1" max="1" width="0.42578125" style="9" customWidth="1"/>
    <col min="2" max="2" width="12.7109375" style="9" customWidth="1"/>
    <col min="3" max="3" width="9.7109375" style="9" customWidth="1"/>
    <col min="4" max="4" width="33.5703125" style="9" customWidth="1"/>
    <col min="5" max="6" width="19.85546875" style="9" customWidth="1"/>
    <col min="7" max="7" width="6.28515625" style="9" customWidth="1"/>
    <col min="8" max="8" width="14.42578125" style="9" customWidth="1"/>
    <col min="9" max="9" width="13.140625" style="9" customWidth="1"/>
    <col min="10" max="16384" width="9" style="9"/>
  </cols>
  <sheetData>
    <row r="1" spans="2:9" customFormat="1" ht="1.5" customHeight="1" x14ac:dyDescent="0.25"/>
    <row r="2" spans="2:9" customFormat="1" ht="18.75" x14ac:dyDescent="0.3">
      <c r="B2" s="23" t="s">
        <v>72</v>
      </c>
      <c r="C2" s="24"/>
      <c r="D2" s="24"/>
      <c r="E2" s="24"/>
      <c r="F2" s="24"/>
      <c r="G2" s="24"/>
      <c r="H2" s="24"/>
      <c r="I2" s="24"/>
    </row>
    <row r="3" spans="2:9" customFormat="1" x14ac:dyDescent="0.25">
      <c r="B3" s="25" t="s">
        <v>70</v>
      </c>
      <c r="C3" s="24"/>
      <c r="D3" s="24"/>
      <c r="E3" s="24"/>
      <c r="F3" s="24"/>
      <c r="G3" s="24"/>
      <c r="H3" s="24"/>
      <c r="I3" s="24"/>
    </row>
    <row r="4" spans="2:9" customFormat="1" ht="2.25" customHeight="1" x14ac:dyDescent="0.25"/>
    <row r="5" spans="2:9" x14ac:dyDescent="0.25">
      <c r="B5" s="4" t="s">
        <v>0</v>
      </c>
      <c r="C5" s="4" t="s">
        <v>9</v>
      </c>
      <c r="D5" s="4" t="s">
        <v>1</v>
      </c>
      <c r="E5" s="4" t="s">
        <v>2</v>
      </c>
      <c r="F5" s="4" t="s">
        <v>3</v>
      </c>
      <c r="G5" s="4" t="s">
        <v>39</v>
      </c>
      <c r="H5" s="4" t="s">
        <v>40</v>
      </c>
      <c r="I5" s="4" t="s">
        <v>5</v>
      </c>
    </row>
    <row r="6" spans="2:9" x14ac:dyDescent="0.25">
      <c r="B6" s="10">
        <v>43949</v>
      </c>
      <c r="C6" s="9" t="s">
        <v>35</v>
      </c>
      <c r="D6" s="14" t="str">
        <f>_xlfn.IFNA(VLOOKUP(PURC[PO],PO[],5,FALSE),"")</f>
        <v>Pemesanan smartphone</v>
      </c>
      <c r="E6" s="14" t="str">
        <f>_xlfn.IFNA(VLOOKUP(PURC[PO],PO[],3,FALSE),"")</f>
        <v>UD. Mega Gadget</v>
      </c>
      <c r="F6" s="14" t="s">
        <v>29</v>
      </c>
      <c r="G6" s="11">
        <v>5</v>
      </c>
      <c r="H6" s="11">
        <v>4500000</v>
      </c>
      <c r="I6" s="11">
        <f>IF((PURC[[#This Row],[Q]]*PURC[[#This Row],[P/Q]])&lt;&gt;0,PURC[P/Q]*PURC[Q],"")</f>
        <v>22500000</v>
      </c>
    </row>
    <row r="7" spans="2:9" x14ac:dyDescent="0.25">
      <c r="B7" s="10">
        <v>43954</v>
      </c>
      <c r="C7" s="9" t="s">
        <v>77</v>
      </c>
      <c r="D7" s="14" t="str">
        <f>_xlfn.IFNA(VLOOKUP(PURC[PO],PO[],5,FALSE),"")</f>
        <v>Pemesanan smartphone</v>
      </c>
      <c r="E7" s="14" t="str">
        <f>_xlfn.IFNA(VLOOKUP(PURC[PO],PO[],3,FALSE),"")</f>
        <v>UD. Mega Gadget</v>
      </c>
      <c r="F7" s="14" t="s">
        <v>29</v>
      </c>
      <c r="G7" s="11">
        <v>3</v>
      </c>
      <c r="H7" s="11">
        <v>4500000</v>
      </c>
      <c r="I7" s="11">
        <f>IF((PURC[[#This Row],[Q]]*PURC[[#This Row],[P/Q]])&lt;&gt;0,PURC[P/Q]*PURC[Q],"")</f>
        <v>13500000</v>
      </c>
    </row>
    <row r="8" spans="2:9" x14ac:dyDescent="0.25">
      <c r="B8" s="10">
        <v>43954</v>
      </c>
      <c r="C8" s="9" t="s">
        <v>77</v>
      </c>
      <c r="D8" s="14" t="str">
        <f>_xlfn.IFNA(VLOOKUP(PURC[PO],PO[],5,FALSE),"")</f>
        <v>Pemesanan smartphone</v>
      </c>
      <c r="E8" s="14" t="str">
        <f>_xlfn.IFNA(VLOOKUP(PURC[PO],PO[],3,FALSE),"")</f>
        <v>UD. Mega Gadget</v>
      </c>
      <c r="F8" s="14" t="s">
        <v>28</v>
      </c>
      <c r="G8" s="11">
        <v>10</v>
      </c>
      <c r="H8" s="11">
        <v>1500000</v>
      </c>
      <c r="I8" s="11">
        <f>IF((PURC[[#This Row],[Q]]*PURC[[#This Row],[P/Q]])&lt;&gt;0,PURC[P/Q]*PURC[Q],"")</f>
        <v>15000000</v>
      </c>
    </row>
    <row r="9" spans="2:9" x14ac:dyDescent="0.25">
      <c r="B9" s="10">
        <v>43955</v>
      </c>
      <c r="C9" s="9" t="s">
        <v>37</v>
      </c>
      <c r="D9" s="14" t="str">
        <f>_xlfn.IFNA(VLOOKUP(PURC[PO],PO[],5,FALSE),"")</f>
        <v>Pemesanan laptop dan accesories hp</v>
      </c>
      <c r="E9" s="14" t="str">
        <f>_xlfn.IFNA(VLOOKUP(PURC[PO],PO[],3,FALSE),"")</f>
        <v>PT. Electro Indo</v>
      </c>
      <c r="F9" s="14" t="s">
        <v>32</v>
      </c>
      <c r="G9" s="11">
        <v>7</v>
      </c>
      <c r="H9" s="11">
        <v>75000</v>
      </c>
      <c r="I9" s="11">
        <f>IF((PURC[[#This Row],[Q]]*PURC[[#This Row],[P/Q]])&lt;&gt;0,PURC[P/Q]*PURC[Q],"")</f>
        <v>525000</v>
      </c>
    </row>
    <row r="10" spans="2:9" x14ac:dyDescent="0.25">
      <c r="B10" s="10">
        <v>43955</v>
      </c>
      <c r="C10" s="9" t="s">
        <v>37</v>
      </c>
      <c r="D10" s="14" t="str">
        <f>_xlfn.IFNA(VLOOKUP(PURC[PO],PO[],5,FALSE),"")</f>
        <v>Pemesanan laptop dan accesories hp</v>
      </c>
      <c r="E10" s="14" t="str">
        <f>_xlfn.IFNA(VLOOKUP(PURC[PO],PO[],3,FALSE),"")</f>
        <v>PT. Electro Indo</v>
      </c>
      <c r="F10" s="14" t="s">
        <v>30</v>
      </c>
      <c r="G10" s="11">
        <v>9</v>
      </c>
      <c r="H10" s="11">
        <v>7890000</v>
      </c>
      <c r="I10" s="11">
        <f>IF((PURC[[#This Row],[Q]]*PURC[[#This Row],[P/Q]])&lt;&gt;0,PURC[P/Q]*PURC[Q],"")</f>
        <v>71010000</v>
      </c>
    </row>
    <row r="11" spans="2:9" x14ac:dyDescent="0.25">
      <c r="B11" s="10">
        <v>43955</v>
      </c>
      <c r="C11" s="9" t="s">
        <v>37</v>
      </c>
      <c r="D11" s="14" t="str">
        <f>_xlfn.IFNA(VLOOKUP(PURC[PO],PO[],5,FALSE),"")</f>
        <v>Pemesanan laptop dan accesories hp</v>
      </c>
      <c r="E11" s="14" t="str">
        <f>_xlfn.IFNA(VLOOKUP(PURC[PO],PO[],3,FALSE),"")</f>
        <v>PT. Electro Indo</v>
      </c>
      <c r="F11" s="14" t="s">
        <v>31</v>
      </c>
      <c r="G11" s="11">
        <v>3</v>
      </c>
      <c r="H11" s="11">
        <v>18000000</v>
      </c>
      <c r="I11" s="11">
        <f>IF((PURC[[#This Row],[Q]]*PURC[[#This Row],[P/Q]])&lt;&gt;0,PURC[P/Q]*PURC[Q],"")</f>
        <v>54000000</v>
      </c>
    </row>
    <row r="12" spans="2:9" x14ac:dyDescent="0.25">
      <c r="B12" s="10">
        <v>43958</v>
      </c>
      <c r="C12" s="9" t="s">
        <v>84</v>
      </c>
      <c r="D12" s="14" t="str">
        <f>_xlfn.IFNA(VLOOKUP(PURC[PO],PO[],5,FALSE),"")</f>
        <v>Pemesanan smartphone</v>
      </c>
      <c r="E12" s="14" t="str">
        <f>_xlfn.IFNA(VLOOKUP(PURC[PO],PO[],3,FALSE),"")</f>
        <v>UD. Mega Gadget</v>
      </c>
      <c r="F12" s="14" t="s">
        <v>29</v>
      </c>
      <c r="G12" s="11">
        <v>8</v>
      </c>
      <c r="H12" s="11">
        <v>4500000</v>
      </c>
      <c r="I12" s="11">
        <f>IF((PURC[[#This Row],[Q]]*PURC[[#This Row],[P/Q]])&lt;&gt;0,PURC[P/Q]*PURC[Q],"")</f>
        <v>36000000</v>
      </c>
    </row>
    <row r="13" spans="2:9" x14ac:dyDescent="0.25">
      <c r="B13" s="10"/>
      <c r="D13" s="14" t="str">
        <f>_xlfn.IFNA(VLOOKUP(PURC[PO],PO[],5,FALSE),"")</f>
        <v/>
      </c>
      <c r="E13" s="14" t="str">
        <f>_xlfn.IFNA(VLOOKUP(PURC[PO],PO[],3,FALSE),"")</f>
        <v/>
      </c>
      <c r="F13" s="14"/>
      <c r="G13" s="11"/>
      <c r="H13" s="11"/>
      <c r="I13" s="11" t="str">
        <f>IF((PURC[[#This Row],[Q]]*PURC[[#This Row],[P/Q]])&lt;&gt;0,PURC[P/Q]*PURC[Q],"")</f>
        <v/>
      </c>
    </row>
    <row r="14" spans="2:9" x14ac:dyDescent="0.25">
      <c r="B14" s="9" t="s">
        <v>41</v>
      </c>
      <c r="G14" s="12"/>
      <c r="H14" s="12"/>
      <c r="I14" s="13">
        <f>SUBTOTAL(109,PURC[TOTAL])</f>
        <v>212535000</v>
      </c>
    </row>
  </sheetData>
  <dataValidations count="2">
    <dataValidation type="list" allowBlank="1" showInputMessage="1" showErrorMessage="1" sqref="C6:C13">
      <formula1>_po</formula1>
    </dataValidation>
    <dataValidation type="list" allowBlank="1" showInputMessage="1" showErrorMessage="1" sqref="F6:F13">
      <formula1>_barang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zoomScale="145" zoomScaleNormal="14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0.42578125" customWidth="1"/>
    <col min="2" max="2" width="12" customWidth="1"/>
    <col min="3" max="3" width="12.85546875" customWidth="1"/>
    <col min="4" max="4" width="24.42578125" customWidth="1"/>
    <col min="5" max="5" width="36.42578125" customWidth="1"/>
    <col min="6" max="7" width="8.85546875" customWidth="1"/>
  </cols>
  <sheetData>
    <row r="1" spans="2:7" ht="2.25" customHeight="1" x14ac:dyDescent="0.25"/>
    <row r="2" spans="2:7" ht="18.75" x14ac:dyDescent="0.3">
      <c r="B2" s="19" t="s">
        <v>72</v>
      </c>
      <c r="C2" s="21"/>
      <c r="D2" s="21"/>
      <c r="E2" s="21"/>
      <c r="F2" s="21"/>
      <c r="G2" s="21"/>
    </row>
    <row r="3" spans="2:7" x14ac:dyDescent="0.25">
      <c r="B3" s="20" t="s">
        <v>70</v>
      </c>
      <c r="C3" s="21"/>
      <c r="D3" s="21"/>
      <c r="E3" s="21"/>
      <c r="F3" s="21"/>
      <c r="G3" s="21"/>
    </row>
    <row r="4" spans="2:7" ht="2.25" customHeight="1" x14ac:dyDescent="0.25"/>
    <row r="5" spans="2:7" x14ac:dyDescent="0.25">
      <c r="B5" s="4" t="s">
        <v>0</v>
      </c>
      <c r="C5" s="4" t="s">
        <v>48</v>
      </c>
      <c r="D5" s="4" t="s">
        <v>47</v>
      </c>
      <c r="E5" s="4" t="s">
        <v>3</v>
      </c>
      <c r="F5" s="4" t="s">
        <v>39</v>
      </c>
      <c r="G5" s="6" t="s">
        <v>46</v>
      </c>
    </row>
    <row r="6" spans="2:7" x14ac:dyDescent="0.25">
      <c r="B6" s="1">
        <v>43952</v>
      </c>
      <c r="C6" s="1" t="s">
        <v>49</v>
      </c>
      <c r="D6" t="s">
        <v>50</v>
      </c>
      <c r="E6" t="s">
        <v>29</v>
      </c>
      <c r="F6" s="2">
        <v>5</v>
      </c>
      <c r="G6">
        <f>_xlfn.IFNA(VLOOKUP(OUT[[#This Row],[BARANG]],INVT[[NAMA BARANG]:[IN HAND]],5,FALSE),"")</f>
        <v>11</v>
      </c>
    </row>
    <row r="7" spans="2:7" x14ac:dyDescent="0.25">
      <c r="B7" s="1">
        <v>43952</v>
      </c>
      <c r="C7" s="1" t="s">
        <v>49</v>
      </c>
      <c r="D7" t="s">
        <v>50</v>
      </c>
      <c r="E7" t="s">
        <v>28</v>
      </c>
      <c r="F7" s="2">
        <v>5</v>
      </c>
      <c r="G7">
        <f>_xlfn.IFNA(VLOOKUP(OUT[[#This Row],[BARANG]],INVT[[NAMA BARANG]:[IN HAND]],5,FALSE),"")</f>
        <v>5</v>
      </c>
    </row>
    <row r="8" spans="2:7" x14ac:dyDescent="0.25">
      <c r="B8" s="1">
        <v>43961</v>
      </c>
      <c r="C8" s="1" t="s">
        <v>51</v>
      </c>
      <c r="D8" t="s">
        <v>52</v>
      </c>
      <c r="E8" t="s">
        <v>31</v>
      </c>
      <c r="F8" s="2">
        <v>1</v>
      </c>
      <c r="G8">
        <f>_xlfn.IFNA(VLOOKUP(OUT[[#This Row],[BARANG]],INVT[[NAMA BARANG]:[IN HAND]],5,FALSE),"")</f>
        <v>2</v>
      </c>
    </row>
    <row r="9" spans="2:7" x14ac:dyDescent="0.25">
      <c r="B9" s="1">
        <v>43962</v>
      </c>
      <c r="C9" s="1" t="s">
        <v>53</v>
      </c>
      <c r="D9" t="s">
        <v>52</v>
      </c>
      <c r="E9" t="s">
        <v>30</v>
      </c>
      <c r="F9" s="2">
        <v>4</v>
      </c>
      <c r="G9">
        <f>_xlfn.IFNA(VLOOKUP(OUT[[#This Row],[BARANG]],INVT[[NAMA BARANG]:[IN HAND]],5,FALSE),"")</f>
        <v>5</v>
      </c>
    </row>
    <row r="10" spans="2:7" x14ac:dyDescent="0.25">
      <c r="B10" s="1"/>
      <c r="C10" s="1"/>
      <c r="F10" s="2"/>
      <c r="G10" t="str">
        <f>_xlfn.IFNA(VLOOKUP(OUT[[#This Row],[BARANG]],INVT[[NAMA BARANG]:[IN HAND]],5,FALSE),"")</f>
        <v/>
      </c>
    </row>
    <row r="11" spans="2:7" x14ac:dyDescent="0.25">
      <c r="B11" s="1"/>
      <c r="C11" s="1"/>
      <c r="F11" s="2"/>
      <c r="G11" t="str">
        <f>_xlfn.IFNA(VLOOKUP(OUT[[#This Row],[BARANG]],INVT[[NAMA BARANG]:[IN HAND]],5,FALSE),"")</f>
        <v/>
      </c>
    </row>
    <row r="12" spans="2:7" x14ac:dyDescent="0.25">
      <c r="B12" s="1"/>
      <c r="C12" s="1"/>
      <c r="F12" s="2"/>
      <c r="G12" t="str">
        <f>_xlfn.IFNA(VLOOKUP(OUT[[#This Row],[BARANG]],INVT[[NAMA BARANG]:[IN HAND]],5,FALSE),"")</f>
        <v/>
      </c>
    </row>
  </sheetData>
  <dataValidations count="1">
    <dataValidation type="list" allowBlank="1" showInputMessage="1" showErrorMessage="1" sqref="E6:E12">
      <formula1>_barang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showGridLines="0" tabSelected="1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8" sqref="J8"/>
    </sheetView>
  </sheetViews>
  <sheetFormatPr defaultRowHeight="15" x14ac:dyDescent="0.25"/>
  <cols>
    <col min="1" max="1" width="0.42578125" customWidth="1"/>
    <col min="2" max="2" width="12.85546875" customWidth="1"/>
    <col min="3" max="3" width="13.42578125" customWidth="1"/>
    <col min="4" max="4" width="15.85546875" customWidth="1"/>
    <col min="5" max="5" width="20.42578125" customWidth="1"/>
    <col min="6" max="6" width="12.42578125" customWidth="1"/>
    <col min="7" max="7" width="28.28515625" customWidth="1"/>
    <col min="8" max="10" width="13.140625" customWidth="1"/>
  </cols>
  <sheetData>
    <row r="1" spans="2:10" ht="2.25" customHeight="1" x14ac:dyDescent="0.25"/>
    <row r="2" spans="2:10" ht="18.75" x14ac:dyDescent="0.3">
      <c r="B2" s="19" t="s">
        <v>72</v>
      </c>
      <c r="C2" s="21"/>
      <c r="D2" s="21"/>
      <c r="E2" s="21"/>
      <c r="F2" s="21"/>
      <c r="G2" s="21"/>
      <c r="H2" s="21"/>
      <c r="I2" s="21"/>
      <c r="J2" s="21"/>
    </row>
    <row r="3" spans="2:10" x14ac:dyDescent="0.25">
      <c r="B3" s="20" t="s">
        <v>70</v>
      </c>
      <c r="C3" s="21"/>
      <c r="D3" s="21"/>
      <c r="E3" s="21"/>
      <c r="F3" s="21"/>
      <c r="G3" s="21"/>
      <c r="H3" s="21"/>
      <c r="I3" s="21"/>
      <c r="J3" s="21"/>
    </row>
    <row r="4" spans="2:10" ht="2.25" customHeight="1" x14ac:dyDescent="0.25"/>
    <row r="5" spans="2:10" x14ac:dyDescent="0.25">
      <c r="B5" s="4" t="s">
        <v>0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2</v>
      </c>
      <c r="H5" s="4" t="s">
        <v>58</v>
      </c>
      <c r="I5" s="4" t="s">
        <v>59</v>
      </c>
      <c r="J5" s="4" t="s">
        <v>60</v>
      </c>
    </row>
    <row r="6" spans="2:10" x14ac:dyDescent="0.25">
      <c r="B6" s="1">
        <v>43952</v>
      </c>
      <c r="C6" s="1" t="s">
        <v>65</v>
      </c>
      <c r="D6" t="s">
        <v>61</v>
      </c>
      <c r="E6" t="s">
        <v>63</v>
      </c>
      <c r="F6" t="s">
        <v>35</v>
      </c>
      <c r="G6" t="str">
        <f>_xlfn.IFNA(VLOOKUP(SETT[[#This Row],[PO. NUMBER]],PO[[NOMOR]:[VENDOR]],3,FALSE),"")</f>
        <v>UD. Mega Gadget</v>
      </c>
      <c r="H6" s="2">
        <f ca="1">IF(SUMIF(PURC[[PO]:[TOTAL]],SETT[[#This Row],[PO. NUMBER]],PURC[TOTAL])&lt;&gt;0,SUMIF(PURC[[PO]:[TOTAL]],SETT[[#This Row],[PO. NUMBER]],PURC[TOTAL]),"")</f>
        <v>22500000</v>
      </c>
      <c r="I6" s="2">
        <v>22500000</v>
      </c>
      <c r="J6" s="2">
        <f ca="1">IF(SETT[[#This Row],[PO. NUMBER]]&lt;&gt;"",SUMIF(PURC[[PO]:[TOTAL]],SETT[[#This Row],[PO. NUMBER]],PURC[TOTAL])-SUMIF(SETT[PO. NUMBER],SETT[[#This Row],[PO. NUMBER]],SETT[DI BAYAR]),"")</f>
        <v>0</v>
      </c>
    </row>
    <row r="7" spans="2:10" x14ac:dyDescent="0.25">
      <c r="B7" s="1">
        <v>43952</v>
      </c>
      <c r="C7" s="1" t="s">
        <v>67</v>
      </c>
      <c r="D7" t="s">
        <v>62</v>
      </c>
      <c r="E7" t="s">
        <v>64</v>
      </c>
      <c r="F7" t="s">
        <v>77</v>
      </c>
      <c r="G7" t="str">
        <f>_xlfn.IFNA(VLOOKUP(SETT[[#This Row],[PO. NUMBER]],PO[[NOMOR]:[VENDOR]],3,FALSE),"")</f>
        <v>UD. Mega Gadget</v>
      </c>
      <c r="H7" s="2">
        <f ca="1">IF(SUMIF(PURC[[PO]:[TOTAL]],SETT[[#This Row],[PO. NUMBER]],PURC[TOTAL])&lt;&gt;0,SUMIF(PURC[[PO]:[TOTAL]],SETT[[#This Row],[PO. NUMBER]],PURC[TOTAL]),"")</f>
        <v>28500000</v>
      </c>
      <c r="I7" s="2">
        <v>28000000</v>
      </c>
      <c r="J7" s="2">
        <f ca="1">IF(SETT[[#This Row],[PO. NUMBER]]&lt;&gt;"",SUMIF(PURC[[PO]:[TOTAL]],SETT[[#This Row],[PO. NUMBER]],PURC[TOTAL])-SUMIF(SETT[PO. NUMBER],SETT[[#This Row],[PO. NUMBER]],SETT[DI BAYAR]),"")</f>
        <v>0</v>
      </c>
    </row>
    <row r="8" spans="2:10" x14ac:dyDescent="0.25">
      <c r="B8" s="1">
        <v>43954</v>
      </c>
      <c r="C8" s="1" t="s">
        <v>66</v>
      </c>
      <c r="D8" t="s">
        <v>61</v>
      </c>
      <c r="E8" t="s">
        <v>63</v>
      </c>
      <c r="F8" t="s">
        <v>77</v>
      </c>
      <c r="G8" t="str">
        <f>_xlfn.IFNA(VLOOKUP(SETT[[#This Row],[PO. NUMBER]],PO[[NOMOR]:[VENDOR]],3,FALSE),"")</f>
        <v>UD. Mega Gadget</v>
      </c>
      <c r="H8" s="2">
        <f ca="1">IF(SUMIF(PURC[[PO]:[TOTAL]],SETT[[#This Row],[PO. NUMBER]],PURC[TOTAL])&lt;&gt;0,SUMIF(PURC[[PO]:[TOTAL]],SETT[[#This Row],[PO. NUMBER]],PURC[TOTAL]),"")</f>
        <v>28500000</v>
      </c>
      <c r="I8" s="2">
        <v>500000</v>
      </c>
      <c r="J8" s="2">
        <f ca="1">IF(SETT[[#This Row],[PO. NUMBER]]&lt;&gt;"",SUMIF(PURC[[PO]:[TOTAL]],SETT[[#This Row],[PO. NUMBER]],PURC[TOTAL])-SUMIF(SETT[PO. NUMBER],SETT[[#This Row],[PO. NUMBER]],SETT[DI BAYAR]),"")</f>
        <v>0</v>
      </c>
    </row>
    <row r="9" spans="2:10" x14ac:dyDescent="0.25">
      <c r="B9" s="1">
        <v>43956</v>
      </c>
      <c r="C9" s="1" t="s">
        <v>82</v>
      </c>
      <c r="D9" t="s">
        <v>83</v>
      </c>
      <c r="E9" t="s">
        <v>63</v>
      </c>
      <c r="F9" t="s">
        <v>37</v>
      </c>
      <c r="G9" t="str">
        <f>_xlfn.IFNA(VLOOKUP(SETT[[#This Row],[PO. NUMBER]],PO[[NOMOR]:[VENDOR]],3,FALSE),"")</f>
        <v>PT. Electro Indo</v>
      </c>
      <c r="H9" s="2">
        <f ca="1">IF(SUMIF(PURC[[PO]:[TOTAL]],SETT[[#This Row],[PO. NUMBER]],PURC[TOTAL])&lt;&gt;0,SUMIF(PURC[[PO]:[TOTAL]],SETT[[#This Row],[PO. NUMBER]],PURC[TOTAL]),"")</f>
        <v>125535000</v>
      </c>
      <c r="I9" s="2">
        <v>50000000</v>
      </c>
      <c r="J9" s="2">
        <f ca="1">IF(SETT[[#This Row],[PO. NUMBER]]&lt;&gt;"",SUMIF(PURC[[PO]:[TOTAL]],SETT[[#This Row],[PO. NUMBER]],PURC[TOTAL])-SUMIF(SETT[PO. NUMBER],SETT[[#This Row],[PO. NUMBER]],SETT[DI BAYAR]),"")</f>
        <v>75535000</v>
      </c>
    </row>
    <row r="10" spans="2:10" x14ac:dyDescent="0.25">
      <c r="B10" s="1"/>
      <c r="C10" s="1"/>
      <c r="G10" t="str">
        <f>_xlfn.IFNA(VLOOKUP(SETT[[#This Row],[PO. NUMBER]],PO[[NOMOR]:[VENDOR]],3,FALSE),"")</f>
        <v/>
      </c>
      <c r="H10" s="2" t="str">
        <f ca="1">IF(SUMIF(PURC[[PO]:[TOTAL]],SETT[[#This Row],[PO. NUMBER]],PURC[TOTAL])&lt;&gt;0,SUMIF(PURC[[PO]:[TOTAL]],SETT[[#This Row],[PO. NUMBER]],PURC[TOTAL]),"")</f>
        <v/>
      </c>
      <c r="I10" s="2"/>
      <c r="J10" s="2" t="str">
        <f>IF(SETT[[#This Row],[PO. NUMBER]]&lt;&gt;"",SUMIF(PURC[[PO]:[TOTAL]],SETT[[#This Row],[PO. NUMBER]],PURC[TOTAL])-SUMIF(SETT[PO. NUMBER],SETT[[#This Row],[PO. NUMBER]],SETT[DI BAYAR]),"")</f>
        <v/>
      </c>
    </row>
    <row r="11" spans="2:10" x14ac:dyDescent="0.25">
      <c r="B11" t="s">
        <v>41</v>
      </c>
      <c r="H11" s="3">
        <f ca="1">SUBTOTAL(109,SETT[HUTANG])</f>
        <v>205035000</v>
      </c>
      <c r="I11" s="3">
        <f>SUBTOTAL(109,SETT[DI BAYAR])</f>
        <v>101000000</v>
      </c>
      <c r="J11" s="3">
        <f ca="1">SUBTOTAL(109,SETT[SELISIH])</f>
        <v>75535000</v>
      </c>
    </row>
  </sheetData>
  <dataValidations count="1">
    <dataValidation type="list" allowBlank="1" showInputMessage="1" showErrorMessage="1" sqref="F6:F10">
      <formula1>_po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VEND</vt:lpstr>
      <vt:lpstr>GROUP</vt:lpstr>
      <vt:lpstr>INVT</vt:lpstr>
      <vt:lpstr>PO</vt:lpstr>
      <vt:lpstr>PURC</vt:lpstr>
      <vt:lpstr>OUT</vt:lpstr>
      <vt:lpstr>SETT</vt:lpstr>
      <vt:lpstr>_barang</vt:lpstr>
      <vt:lpstr>_group</vt:lpstr>
      <vt:lpstr>_po</vt:lpstr>
      <vt:lpstr>_vendor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Cheries</dc:creator>
  <cp:lastModifiedBy>cheries</cp:lastModifiedBy>
  <dcterms:created xsi:type="dcterms:W3CDTF">2020-05-15T20:56:54Z</dcterms:created>
  <dcterms:modified xsi:type="dcterms:W3CDTF">2021-06-28T02:40:45Z</dcterms:modified>
</cp:coreProperties>
</file>