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 codeName="ThisWorkbook"/>
  <xr:revisionPtr revIDLastSave="0" documentId="13_ncr:1_{6369071B-3E03-4E7A-9A0A-663B792614A3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Structural Information" sheetId="1" r:id="rId1"/>
    <sheet name="Frame Capacities" sheetId="5" r:id="rId2"/>
    <sheet name="Infill Capacities" sheetId="6" r:id="rId3"/>
    <sheet name="System Capacities" sheetId="7" r:id="rId4"/>
    <sheet name="Yield Mechanism" sheetId="3" r:id="rId5"/>
    <sheet name="Post-yield Mechanism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5" i="3" l="1"/>
  <c r="O16" i="3"/>
  <c r="O17" i="3"/>
  <c r="O18" i="3"/>
  <c r="O19" i="3"/>
  <c r="O20" i="3"/>
  <c r="R6" i="7" l="1"/>
  <c r="I34" i="7"/>
  <c r="I35" i="7"/>
  <c r="I36" i="7"/>
  <c r="I37" i="7"/>
  <c r="I33" i="7"/>
  <c r="I32" i="7"/>
  <c r="N68" i="7"/>
  <c r="N67" i="7"/>
  <c r="J68" i="7"/>
  <c r="J67" i="7"/>
  <c r="F68" i="7"/>
  <c r="F67" i="7"/>
  <c r="N55" i="7"/>
  <c r="J55" i="7"/>
  <c r="F55" i="7" l="1"/>
  <c r="M68" i="7"/>
  <c r="I68" i="7"/>
  <c r="E68" i="7"/>
  <c r="M55" i="7"/>
  <c r="I55" i="7"/>
  <c r="E55" i="7"/>
  <c r="BS25" i="5" l="1"/>
  <c r="BS26" i="5"/>
  <c r="BS27" i="5"/>
  <c r="BS28" i="5"/>
  <c r="BS29" i="5"/>
  <c r="BS24" i="5"/>
  <c r="AY23" i="5"/>
  <c r="AY22" i="5"/>
  <c r="AY27" i="5"/>
  <c r="AY26" i="5"/>
  <c r="AY25" i="5"/>
  <c r="AY21" i="5"/>
  <c r="AY17" i="5"/>
  <c r="AY13" i="5"/>
  <c r="AY9" i="5"/>
  <c r="AV27" i="5"/>
  <c r="AV26" i="5"/>
  <c r="AV25" i="5"/>
  <c r="AV21" i="5"/>
  <c r="AV17" i="5"/>
  <c r="AV13" i="5"/>
  <c r="AV9" i="5"/>
  <c r="AO19" i="5"/>
  <c r="AO18" i="5"/>
  <c r="AN28" i="5"/>
  <c r="AN27" i="5"/>
  <c r="AN26" i="5"/>
  <c r="AN25" i="5"/>
  <c r="AO27" i="5"/>
  <c r="AO26" i="5"/>
  <c r="AO28" i="5"/>
  <c r="AO25" i="5"/>
  <c r="K54" i="4" l="1"/>
  <c r="L54" i="4" s="1"/>
  <c r="L53" i="4" s="1"/>
  <c r="L52" i="4" s="1"/>
  <c r="L51" i="4" s="1"/>
  <c r="L50" i="4" s="1"/>
  <c r="L49" i="4" s="1"/>
  <c r="K53" i="4"/>
  <c r="K52" i="4"/>
  <c r="K51" i="4"/>
  <c r="K50" i="4"/>
  <c r="K49" i="4"/>
  <c r="K43" i="4"/>
  <c r="L43" i="4" s="1"/>
  <c r="L42" i="4" s="1"/>
  <c r="L41" i="4" s="1"/>
  <c r="L40" i="4" s="1"/>
  <c r="L39" i="4" s="1"/>
  <c r="L38" i="4" s="1"/>
  <c r="K42" i="4"/>
  <c r="K41" i="4"/>
  <c r="K40" i="4"/>
  <c r="K39" i="4"/>
  <c r="K38" i="4"/>
  <c r="L32" i="4"/>
  <c r="L31" i="4" s="1"/>
  <c r="L30" i="4" s="1"/>
  <c r="L29" i="4" s="1"/>
  <c r="L28" i="4" s="1"/>
  <c r="L27" i="4" s="1"/>
  <c r="K32" i="4"/>
  <c r="K31" i="4"/>
  <c r="K30" i="4"/>
  <c r="K29" i="4"/>
  <c r="K28" i="4"/>
  <c r="K27" i="4"/>
  <c r="K21" i="4"/>
  <c r="L21" i="4" s="1"/>
  <c r="L20" i="4" s="1"/>
  <c r="L19" i="4" s="1"/>
  <c r="L18" i="4" s="1"/>
  <c r="L17" i="4" s="1"/>
  <c r="L16" i="4" s="1"/>
  <c r="K20" i="4"/>
  <c r="K19" i="4"/>
  <c r="K18" i="4"/>
  <c r="K17" i="4"/>
  <c r="K16" i="4"/>
  <c r="L10" i="4"/>
  <c r="L9" i="4" s="1"/>
  <c r="L8" i="4" s="1"/>
  <c r="L7" i="4" s="1"/>
  <c r="L6" i="4" s="1"/>
  <c r="L5" i="4" s="1"/>
  <c r="K10" i="4"/>
  <c r="K9" i="4"/>
  <c r="K8" i="4"/>
  <c r="K7" i="4"/>
  <c r="K6" i="4"/>
  <c r="K5" i="4"/>
  <c r="H16" i="6" l="1"/>
  <c r="H13" i="6"/>
  <c r="CZ19" i="6" l="1"/>
  <c r="CZ18" i="6"/>
  <c r="CZ17" i="6"/>
  <c r="CZ16" i="6"/>
  <c r="CZ15" i="6"/>
  <c r="CZ14" i="6"/>
  <c r="BU4" i="6" l="1"/>
  <c r="BT4" i="6"/>
  <c r="BS4" i="6"/>
  <c r="BR4" i="6"/>
  <c r="BQ4" i="6"/>
  <c r="BQ7" i="6" s="1"/>
  <c r="BP4" i="6"/>
  <c r="BO16" i="6"/>
  <c r="BO15" i="6"/>
  <c r="BO14" i="6"/>
  <c r="BO13" i="6"/>
  <c r="BO12" i="6"/>
  <c r="BO11" i="6"/>
  <c r="BO10" i="6"/>
  <c r="BO9" i="6"/>
  <c r="BO8" i="6"/>
  <c r="BO7" i="6"/>
  <c r="BO6" i="6"/>
  <c r="BO5" i="6"/>
  <c r="BU5" i="6" l="1"/>
  <c r="BU13" i="6"/>
  <c r="BU14" i="6" s="1"/>
  <c r="BR11" i="6"/>
  <c r="BQ9" i="6"/>
  <c r="BT15" i="6"/>
  <c r="BT13" i="6"/>
  <c r="BQ13" i="6"/>
  <c r="BR13" i="6"/>
  <c r="BP11" i="6"/>
  <c r="BS11" i="6"/>
  <c r="BP9" i="6"/>
  <c r="BU9" i="6"/>
  <c r="BU10" i="6" s="1"/>
  <c r="BT5" i="6"/>
  <c r="BS5" i="6"/>
  <c r="BU7" i="6"/>
  <c r="BU8" i="6" s="1"/>
  <c r="BQ11" i="6"/>
  <c r="BS13" i="6"/>
  <c r="BU15" i="6"/>
  <c r="BU16" i="6" s="1"/>
  <c r="BP7" i="6"/>
  <c r="BR9" i="6"/>
  <c r="BT11" i="6"/>
  <c r="BP15" i="6"/>
  <c r="BS9" i="6"/>
  <c r="BU11" i="6"/>
  <c r="BU12" i="6" s="1"/>
  <c r="BQ15" i="6"/>
  <c r="BP5" i="6"/>
  <c r="BR7" i="6"/>
  <c r="BT9" i="6"/>
  <c r="BP13" i="6"/>
  <c r="BR15" i="6"/>
  <c r="BQ5" i="6"/>
  <c r="BS7" i="6"/>
  <c r="BS15" i="6"/>
  <c r="BR5" i="6"/>
  <c r="BT7" i="6"/>
  <c r="BU6" i="6" l="1"/>
  <c r="BT6" i="6" s="1"/>
  <c r="BS6" i="6" s="1"/>
  <c r="BR6" i="6" s="1"/>
  <c r="BQ6" i="6" s="1"/>
  <c r="BP6" i="6" s="1"/>
  <c r="BT14" i="6"/>
  <c r="BS14" i="6"/>
  <c r="BR14" i="6" s="1"/>
  <c r="BQ14" i="6" s="1"/>
  <c r="BP14" i="6" s="1"/>
  <c r="BT16" i="6"/>
  <c r="BS16" i="6" s="1"/>
  <c r="BR16" i="6" s="1"/>
  <c r="BQ16" i="6" s="1"/>
  <c r="BP16" i="6" s="1"/>
  <c r="BT12" i="6"/>
  <c r="BS12" i="6" s="1"/>
  <c r="BR12" i="6" s="1"/>
  <c r="BQ12" i="6" s="1"/>
  <c r="BP12" i="6" s="1"/>
  <c r="BT10" i="6"/>
  <c r="BS10" i="6" s="1"/>
  <c r="BR10" i="6" s="1"/>
  <c r="BQ10" i="6" s="1"/>
  <c r="BP10" i="6" s="1"/>
  <c r="BT8" i="6"/>
  <c r="BS8" i="6" s="1"/>
  <c r="BR8" i="6" s="1"/>
  <c r="BQ8" i="6" s="1"/>
  <c r="BP8" i="6" s="1"/>
  <c r="BI25" i="6"/>
  <c r="BK25" i="6" s="1"/>
  <c r="BI26" i="6"/>
  <c r="BK26" i="6" s="1"/>
  <c r="BI27" i="6"/>
  <c r="BK27" i="6" s="1"/>
  <c r="BI24" i="6"/>
  <c r="BK24" i="6" s="1"/>
  <c r="CD4" i="6" s="1"/>
  <c r="BI21" i="6"/>
  <c r="BK21" i="6" s="1"/>
  <c r="BI22" i="6"/>
  <c r="BK22" i="6" s="1"/>
  <c r="BI23" i="6"/>
  <c r="BK23" i="6" s="1"/>
  <c r="BI20" i="6"/>
  <c r="BK20" i="6" s="1"/>
  <c r="BI17" i="6"/>
  <c r="BK17" i="6" s="1"/>
  <c r="BI18" i="6"/>
  <c r="BK18" i="6" s="1"/>
  <c r="BI19" i="6"/>
  <c r="BK19" i="6" s="1"/>
  <c r="BI16" i="6"/>
  <c r="BK16" i="6" s="1"/>
  <c r="BI13" i="6"/>
  <c r="BK13" i="6" s="1"/>
  <c r="BI14" i="6"/>
  <c r="BK14" i="6" s="1"/>
  <c r="BI15" i="6"/>
  <c r="BK15" i="6" s="1"/>
  <c r="BI12" i="6"/>
  <c r="BK12" i="6" s="1"/>
  <c r="BI9" i="6"/>
  <c r="BK9" i="6" s="1"/>
  <c r="BI10" i="6"/>
  <c r="BK10" i="6" s="1"/>
  <c r="BI11" i="6"/>
  <c r="BK11" i="6" s="1"/>
  <c r="BI8" i="6"/>
  <c r="BK8" i="6" s="1"/>
  <c r="BI7" i="6"/>
  <c r="BK7" i="6" s="1"/>
  <c r="BI6" i="6"/>
  <c r="BK6" i="6" s="1"/>
  <c r="BI5" i="6"/>
  <c r="BK5" i="6" s="1"/>
  <c r="BI4" i="6"/>
  <c r="BK4" i="6" s="1"/>
  <c r="E53" i="7" l="1"/>
  <c r="I53" i="7"/>
  <c r="M53" i="7"/>
  <c r="E67" i="7"/>
  <c r="I67" i="7"/>
  <c r="M67" i="7"/>
  <c r="E186" i="4"/>
  <c r="E188" i="4"/>
  <c r="E192" i="4" l="1"/>
  <c r="O226" i="4"/>
  <c r="E193" i="4"/>
  <c r="O230" i="4"/>
  <c r="O228" i="4"/>
  <c r="E190" i="4"/>
  <c r="M233" i="4"/>
  <c r="O233" i="4" s="1"/>
  <c r="E191" i="4"/>
  <c r="O231" i="4"/>
  <c r="O229" i="4"/>
  <c r="O227" i="4"/>
  <c r="E189" i="4"/>
  <c r="N233" i="4"/>
  <c r="K65" i="4" l="1"/>
  <c r="L65" i="4" s="1"/>
  <c r="L64" i="4" s="1"/>
  <c r="L63" i="4" s="1"/>
  <c r="L62" i="4" s="1"/>
  <c r="L61" i="4" s="1"/>
  <c r="L60" i="4" s="1"/>
  <c r="K64" i="4"/>
  <c r="K63" i="4"/>
  <c r="K62" i="4"/>
  <c r="K61" i="4"/>
  <c r="K60" i="4"/>
  <c r="K76" i="4"/>
  <c r="L76" i="4" s="1"/>
  <c r="L75" i="4" s="1"/>
  <c r="L74" i="4" s="1"/>
  <c r="L73" i="4" s="1"/>
  <c r="L72" i="4" s="1"/>
  <c r="L71" i="4" s="1"/>
  <c r="K75" i="4"/>
  <c r="K74" i="4"/>
  <c r="K73" i="4"/>
  <c r="K72" i="4"/>
  <c r="K71" i="4"/>
  <c r="L87" i="4"/>
  <c r="L86" i="4" s="1"/>
  <c r="L85" i="4" s="1"/>
  <c r="L84" i="4" s="1"/>
  <c r="L83" i="4" s="1"/>
  <c r="L82" i="4" s="1"/>
  <c r="K87" i="4"/>
  <c r="K86" i="4"/>
  <c r="K85" i="4"/>
  <c r="K84" i="4"/>
  <c r="K83" i="4"/>
  <c r="K82" i="4"/>
  <c r="N27" i="5" l="1"/>
  <c r="O82" i="5"/>
  <c r="AP28" i="5" l="1"/>
  <c r="AQ28" i="5" s="1"/>
  <c r="AP27" i="5"/>
  <c r="AQ27" i="5" s="1"/>
  <c r="AP26" i="5"/>
  <c r="AQ26" i="5" s="1"/>
  <c r="AP25" i="5"/>
  <c r="AQ25" i="5" s="1"/>
  <c r="AR28" i="5" l="1"/>
  <c r="BC9" i="5"/>
  <c r="BC8" i="5"/>
  <c r="AR27" i="5"/>
  <c r="AR26" i="5"/>
  <c r="AR25" i="5"/>
  <c r="AX26" i="5" l="1"/>
  <c r="AU26" i="5"/>
  <c r="AT27" i="5"/>
  <c r="AX27" i="5"/>
  <c r="AU27" i="5"/>
  <c r="AT25" i="5"/>
  <c r="AX25" i="5"/>
  <c r="AU25" i="5"/>
  <c r="AT26" i="5"/>
  <c r="AT28" i="5"/>
  <c r="L98" i="4" l="1"/>
  <c r="K98" i="4"/>
  <c r="L97" i="4"/>
  <c r="K97" i="4"/>
  <c r="L96" i="4"/>
  <c r="L95" i="4" s="1"/>
  <c r="L94" i="4" s="1"/>
  <c r="L93" i="4" s="1"/>
  <c r="K96" i="4"/>
  <c r="K95" i="4"/>
  <c r="K94" i="4"/>
  <c r="K93" i="4"/>
  <c r="L109" i="4"/>
  <c r="K109" i="4"/>
  <c r="L108" i="4"/>
  <c r="K108" i="4"/>
  <c r="L107" i="4"/>
  <c r="L106" i="4" s="1"/>
  <c r="L105" i="4" s="1"/>
  <c r="L104" i="4" s="1"/>
  <c r="K107" i="4"/>
  <c r="K106" i="4"/>
  <c r="K105" i="4"/>
  <c r="K104" i="4"/>
  <c r="K120" i="4"/>
  <c r="L120" i="4" s="1"/>
  <c r="L119" i="4" s="1"/>
  <c r="L118" i="4" s="1"/>
  <c r="L117" i="4" s="1"/>
  <c r="L116" i="4" s="1"/>
  <c r="L115" i="4" s="1"/>
  <c r="K119" i="4"/>
  <c r="K118" i="4"/>
  <c r="K117" i="4"/>
  <c r="K116" i="4"/>
  <c r="K115" i="4"/>
  <c r="AO22" i="5" l="1"/>
  <c r="Y219" i="4" l="1"/>
  <c r="K219" i="4"/>
  <c r="L219" i="4" s="1"/>
  <c r="Y218" i="4"/>
  <c r="K218" i="4"/>
  <c r="Y217" i="4"/>
  <c r="K217" i="4"/>
  <c r="Y216" i="4"/>
  <c r="K216" i="4"/>
  <c r="Y215" i="4"/>
  <c r="K215" i="4"/>
  <c r="Y214" i="4"/>
  <c r="K214" i="4"/>
  <c r="Y208" i="4"/>
  <c r="K208" i="4"/>
  <c r="L208" i="4" s="1"/>
  <c r="Y207" i="4"/>
  <c r="K207" i="4"/>
  <c r="Y206" i="4"/>
  <c r="K206" i="4"/>
  <c r="Y205" i="4"/>
  <c r="K205" i="4"/>
  <c r="Y204" i="4"/>
  <c r="K204" i="4"/>
  <c r="Y203" i="4"/>
  <c r="K203" i="4"/>
  <c r="Y197" i="4"/>
  <c r="K197" i="4"/>
  <c r="L197" i="4" s="1"/>
  <c r="Y196" i="4"/>
  <c r="K196" i="4"/>
  <c r="Y195" i="4"/>
  <c r="K195" i="4"/>
  <c r="Y194" i="4"/>
  <c r="K194" i="4"/>
  <c r="Y193" i="4"/>
  <c r="K193" i="4"/>
  <c r="Y192" i="4"/>
  <c r="K192" i="4"/>
  <c r="Y186" i="4"/>
  <c r="K186" i="4"/>
  <c r="L186" i="4" s="1"/>
  <c r="Y185" i="4"/>
  <c r="K185" i="4"/>
  <c r="Y184" i="4"/>
  <c r="K184" i="4"/>
  <c r="Y183" i="4"/>
  <c r="K183" i="4"/>
  <c r="Y182" i="4"/>
  <c r="K182" i="4"/>
  <c r="Y181" i="4"/>
  <c r="K181" i="4"/>
  <c r="Y175" i="4"/>
  <c r="K175" i="4"/>
  <c r="L175" i="4" s="1"/>
  <c r="Y174" i="4"/>
  <c r="K174" i="4"/>
  <c r="Y173" i="4"/>
  <c r="K173" i="4"/>
  <c r="Y172" i="4"/>
  <c r="K172" i="4"/>
  <c r="Y171" i="4"/>
  <c r="K171" i="4"/>
  <c r="Y170" i="4"/>
  <c r="K170" i="4"/>
  <c r="Y164" i="4"/>
  <c r="K164" i="4"/>
  <c r="L164" i="4" s="1"/>
  <c r="Y163" i="4"/>
  <c r="K163" i="4"/>
  <c r="Y162" i="4"/>
  <c r="K162" i="4"/>
  <c r="Y161" i="4"/>
  <c r="K161" i="4"/>
  <c r="Y160" i="4"/>
  <c r="K160" i="4"/>
  <c r="Y159" i="4"/>
  <c r="K159" i="4"/>
  <c r="Y153" i="4"/>
  <c r="K153" i="4"/>
  <c r="L153" i="4" s="1"/>
  <c r="Y152" i="4"/>
  <c r="K152" i="4"/>
  <c r="Y151" i="4"/>
  <c r="K151" i="4"/>
  <c r="Y150" i="4"/>
  <c r="K150" i="4"/>
  <c r="Y149" i="4"/>
  <c r="K149" i="4"/>
  <c r="Y148" i="4"/>
  <c r="K148" i="4"/>
  <c r="Y142" i="4"/>
  <c r="K142" i="4"/>
  <c r="L142" i="4" s="1"/>
  <c r="Y141" i="4"/>
  <c r="K141" i="4"/>
  <c r="Y140" i="4"/>
  <c r="K140" i="4"/>
  <c r="Y139" i="4"/>
  <c r="K139" i="4"/>
  <c r="Y138" i="4"/>
  <c r="K138" i="4"/>
  <c r="Y137" i="4"/>
  <c r="K137" i="4"/>
  <c r="Y131" i="4"/>
  <c r="K131" i="4"/>
  <c r="L131" i="4" s="1"/>
  <c r="Y130" i="4"/>
  <c r="K130" i="4"/>
  <c r="Y129" i="4"/>
  <c r="K129" i="4"/>
  <c r="Y128" i="4"/>
  <c r="K128" i="4"/>
  <c r="Y127" i="4"/>
  <c r="K127" i="4"/>
  <c r="Y126" i="4"/>
  <c r="K126" i="4"/>
  <c r="Y120" i="4"/>
  <c r="Y119" i="4"/>
  <c r="Y118" i="4"/>
  <c r="Y117" i="4"/>
  <c r="Y116" i="4"/>
  <c r="Y115" i="4"/>
  <c r="L207" i="4" l="1"/>
  <c r="L206" i="4" s="1"/>
  <c r="L205" i="4" s="1"/>
  <c r="L204" i="4" s="1"/>
  <c r="L203" i="4" s="1"/>
  <c r="L141" i="4"/>
  <c r="L140" i="4" s="1"/>
  <c r="L139" i="4" s="1"/>
  <c r="L185" i="4"/>
  <c r="L184" i="4" s="1"/>
  <c r="L183" i="4" s="1"/>
  <c r="L182" i="4" s="1"/>
  <c r="L181" i="4" s="1"/>
  <c r="L218" i="4"/>
  <c r="L217" i="4" s="1"/>
  <c r="L216" i="4" s="1"/>
  <c r="L215" i="4" s="1"/>
  <c r="L214" i="4" s="1"/>
  <c r="L130" i="4"/>
  <c r="L129" i="4" s="1"/>
  <c r="L128" i="4" s="1"/>
  <c r="L127" i="4" s="1"/>
  <c r="L138" i="4"/>
  <c r="L137" i="4" s="1"/>
  <c r="L174" i="4"/>
  <c r="L173" i="4" s="1"/>
  <c r="L172" i="4" s="1"/>
  <c r="L171" i="4" s="1"/>
  <c r="L170" i="4" s="1"/>
  <c r="L152" i="4"/>
  <c r="L151" i="4" s="1"/>
  <c r="L150" i="4" s="1"/>
  <c r="L149" i="4" s="1"/>
  <c r="L196" i="4"/>
  <c r="L195" i="4" s="1"/>
  <c r="L194" i="4" s="1"/>
  <c r="L193" i="4" s="1"/>
  <c r="L192" i="4" s="1"/>
  <c r="L148" i="4"/>
  <c r="L163" i="4"/>
  <c r="L162" i="4" s="1"/>
  <c r="L161" i="4" s="1"/>
  <c r="BA21" i="6"/>
  <c r="AV21" i="6"/>
  <c r="AR21" i="6"/>
  <c r="BA20" i="6"/>
  <c r="AV20" i="6"/>
  <c r="AR20" i="6"/>
  <c r="BA19" i="6"/>
  <c r="AV19" i="6"/>
  <c r="AR19" i="6"/>
  <c r="BA18" i="6"/>
  <c r="AV18" i="6"/>
  <c r="AR18" i="6"/>
  <c r="BA17" i="6"/>
  <c r="AV17" i="6"/>
  <c r="AR17" i="6"/>
  <c r="BA16" i="6"/>
  <c r="AV16" i="6"/>
  <c r="AR16" i="6"/>
  <c r="BA15" i="6"/>
  <c r="AV15" i="6"/>
  <c r="AR15" i="6"/>
  <c r="BA14" i="6"/>
  <c r="AV14" i="6"/>
  <c r="AR14" i="6"/>
  <c r="BA13" i="6"/>
  <c r="AV13" i="6"/>
  <c r="AR13" i="6"/>
  <c r="BA12" i="6"/>
  <c r="AV12" i="6"/>
  <c r="AR12" i="6"/>
  <c r="BA11" i="6"/>
  <c r="AV11" i="6"/>
  <c r="AR11" i="6"/>
  <c r="BA10" i="6"/>
  <c r="AV10" i="6"/>
  <c r="AR10" i="6"/>
  <c r="BA9" i="6"/>
  <c r="AV9" i="6"/>
  <c r="AR9" i="6"/>
  <c r="BA8" i="6"/>
  <c r="AV8" i="6"/>
  <c r="AR8" i="6"/>
  <c r="BA7" i="6"/>
  <c r="AV7" i="6"/>
  <c r="AR7" i="6"/>
  <c r="BA6" i="6"/>
  <c r="AV6" i="6"/>
  <c r="AR6" i="6"/>
  <c r="BA5" i="6"/>
  <c r="AV5" i="6"/>
  <c r="AR5" i="6"/>
  <c r="BA4" i="6"/>
  <c r="AV4" i="6"/>
  <c r="AR4" i="6"/>
  <c r="L126" i="4" l="1"/>
  <c r="L160" i="4"/>
  <c r="L159" i="4" l="1"/>
  <c r="L15" i="3"/>
  <c r="H143" i="4" l="1"/>
  <c r="O100" i="5" l="1"/>
  <c r="N100" i="5"/>
  <c r="O99" i="5"/>
  <c r="N99" i="5"/>
  <c r="O98" i="5"/>
  <c r="N98" i="5"/>
  <c r="O97" i="5"/>
  <c r="N97" i="5"/>
  <c r="O96" i="5"/>
  <c r="AX28" i="5" s="1"/>
  <c r="AZ28" i="5" s="1"/>
  <c r="N96" i="5"/>
  <c r="AU28" i="5" s="1"/>
  <c r="AW28" i="5" s="1"/>
  <c r="O95" i="5"/>
  <c r="N95" i="5"/>
  <c r="O94" i="5"/>
  <c r="N94" i="5"/>
  <c r="O93" i="5"/>
  <c r="N93" i="5"/>
  <c r="O92" i="5"/>
  <c r="N92" i="5"/>
  <c r="O91" i="5"/>
  <c r="N91" i="5"/>
  <c r="O90" i="5"/>
  <c r="N90" i="5"/>
  <c r="O89" i="5"/>
  <c r="N89" i="5"/>
  <c r="O88" i="5"/>
  <c r="N88" i="5"/>
  <c r="O87" i="5"/>
  <c r="N87" i="5"/>
  <c r="O86" i="5"/>
  <c r="N86" i="5"/>
  <c r="O85" i="5"/>
  <c r="N85" i="5"/>
  <c r="O84" i="5"/>
  <c r="N84" i="5"/>
  <c r="O83" i="5"/>
  <c r="N83" i="5"/>
  <c r="N82" i="5"/>
  <c r="O81" i="5"/>
  <c r="N81" i="5"/>
  <c r="O80" i="5"/>
  <c r="N80" i="5"/>
  <c r="O79" i="5"/>
  <c r="N79" i="5"/>
  <c r="O78" i="5"/>
  <c r="N78" i="5"/>
  <c r="O77" i="5"/>
  <c r="N77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N29" i="5"/>
  <c r="O29" i="5"/>
  <c r="N30" i="5"/>
  <c r="O30" i="5"/>
  <c r="N31" i="5"/>
  <c r="O31" i="5"/>
  <c r="O28" i="5"/>
  <c r="N28" i="5"/>
  <c r="O27" i="5"/>
  <c r="Y62" i="3" l="1"/>
  <c r="Y61" i="3"/>
  <c r="Y60" i="3"/>
  <c r="Y59" i="3"/>
  <c r="Y58" i="3"/>
  <c r="Y57" i="3"/>
  <c r="Y49" i="3"/>
  <c r="Y48" i="3"/>
  <c r="Y47" i="3"/>
  <c r="Y46" i="3"/>
  <c r="Y45" i="3"/>
  <c r="Y44" i="3"/>
  <c r="Y36" i="3"/>
  <c r="Y35" i="3"/>
  <c r="Y34" i="3"/>
  <c r="Y33" i="3"/>
  <c r="Y32" i="3"/>
  <c r="Y31" i="3"/>
  <c r="Y23" i="3"/>
  <c r="Y22" i="3"/>
  <c r="Y21" i="3"/>
  <c r="Y20" i="3"/>
  <c r="Y19" i="3"/>
  <c r="Y18" i="3"/>
  <c r="Y10" i="3"/>
  <c r="Y9" i="3"/>
  <c r="Y8" i="3"/>
  <c r="Y7" i="3"/>
  <c r="Y6" i="3"/>
  <c r="Y5" i="3"/>
  <c r="E10" i="3"/>
  <c r="E9" i="3"/>
  <c r="E8" i="3"/>
  <c r="E7" i="3"/>
  <c r="E6" i="3"/>
  <c r="E5" i="3"/>
  <c r="CQ4" i="6" l="1"/>
  <c r="CQ5" i="6"/>
  <c r="CQ6" i="6"/>
  <c r="CQ7" i="6"/>
  <c r="CQ8" i="6"/>
  <c r="CQ9" i="6"/>
  <c r="BH4" i="5"/>
  <c r="BH5" i="5"/>
  <c r="BH6" i="5"/>
  <c r="BH7" i="5"/>
  <c r="BH8" i="5"/>
  <c r="BH9" i="5"/>
  <c r="H37" i="7"/>
  <c r="H36" i="7"/>
  <c r="H35" i="7"/>
  <c r="H34" i="7"/>
  <c r="H33" i="7"/>
  <c r="H32" i="7"/>
  <c r="H24" i="7"/>
  <c r="H23" i="7"/>
  <c r="H22" i="7"/>
  <c r="H21" i="7"/>
  <c r="H20" i="7"/>
  <c r="H19" i="7"/>
  <c r="AG6" i="5" l="1"/>
  <c r="AB6" i="5"/>
  <c r="AG5" i="5"/>
  <c r="AB5" i="5"/>
  <c r="W5" i="5"/>
  <c r="AP30" i="5"/>
  <c r="AQ30" i="5" s="1"/>
  <c r="AP32" i="5"/>
  <c r="AQ32" i="5" s="1"/>
  <c r="BC18" i="5" l="1"/>
  <c r="G36" i="7" s="1"/>
  <c r="AP29" i="5"/>
  <c r="AQ29" i="5" s="1"/>
  <c r="W6" i="5"/>
  <c r="AG44" i="5" l="1"/>
  <c r="AB44" i="5"/>
  <c r="W44" i="5"/>
  <c r="AG43" i="5"/>
  <c r="AB43" i="5"/>
  <c r="W43" i="5"/>
  <c r="AG39" i="5"/>
  <c r="AB39" i="5"/>
  <c r="W39" i="5"/>
  <c r="AG38" i="5"/>
  <c r="AB38" i="5"/>
  <c r="W38" i="5"/>
  <c r="BB3" i="5" l="1"/>
  <c r="BC3" i="5"/>
  <c r="BG3" i="5"/>
  <c r="BH3" i="5"/>
  <c r="BI3" i="5"/>
  <c r="BJ3" i="5"/>
  <c r="BB4" i="5"/>
  <c r="BC4" i="5"/>
  <c r="BB5" i="5"/>
  <c r="BC5" i="5"/>
  <c r="BB6" i="5"/>
  <c r="BC6" i="5"/>
  <c r="BB7" i="5"/>
  <c r="BC7" i="5"/>
  <c r="BC17" i="5"/>
  <c r="G35" i="7" s="1"/>
  <c r="BB8" i="5"/>
  <c r="BB9" i="5"/>
  <c r="CL3" i="6"/>
  <c r="CM3" i="6"/>
  <c r="CP3" i="6"/>
  <c r="CQ3" i="6"/>
  <c r="CR3" i="6"/>
  <c r="CS3" i="6"/>
  <c r="CL4" i="6"/>
  <c r="CM4" i="6"/>
  <c r="CL5" i="6"/>
  <c r="CM5" i="6"/>
  <c r="CL6" i="6"/>
  <c r="CM6" i="6"/>
  <c r="CL7" i="6"/>
  <c r="CM7" i="6"/>
  <c r="CL8" i="6"/>
  <c r="CM8" i="6"/>
  <c r="CL9" i="6"/>
  <c r="CM9" i="6"/>
  <c r="D186" i="4"/>
  <c r="Y109" i="4"/>
  <c r="Y108" i="4"/>
  <c r="Y107" i="4"/>
  <c r="Y106" i="4"/>
  <c r="Y105" i="4"/>
  <c r="Y104" i="4"/>
  <c r="Y98" i="4"/>
  <c r="Y97" i="4"/>
  <c r="Y96" i="4"/>
  <c r="Y95" i="4"/>
  <c r="Y94" i="4"/>
  <c r="Y93" i="4"/>
  <c r="Y87" i="4"/>
  <c r="Y86" i="4"/>
  <c r="Y85" i="4"/>
  <c r="Y84" i="4"/>
  <c r="Y83" i="4"/>
  <c r="Y82" i="4"/>
  <c r="Y76" i="4"/>
  <c r="Y75" i="4"/>
  <c r="Y74" i="4"/>
  <c r="Y73" i="4"/>
  <c r="Y72" i="4"/>
  <c r="Y71" i="4"/>
  <c r="BG7" i="5" l="1"/>
  <c r="BF19" i="5"/>
  <c r="BG19" i="5" s="1"/>
  <c r="BC19" i="5"/>
  <c r="G37" i="7" s="1"/>
  <c r="BF17" i="5"/>
  <c r="BG17" i="5" s="1"/>
  <c r="BF15" i="5"/>
  <c r="BG15" i="5" s="1"/>
  <c r="BF18" i="5"/>
  <c r="BG18" i="5" s="1"/>
  <c r="BF16" i="5"/>
  <c r="BG16" i="5" s="1"/>
  <c r="BF14" i="5"/>
  <c r="BG14" i="5" s="1"/>
  <c r="C143" i="4"/>
  <c r="AC19" i="1"/>
  <c r="R244" i="4"/>
  <c r="N244" i="4"/>
  <c r="E9" i="7" l="1"/>
  <c r="BG9" i="5"/>
  <c r="E10" i="7"/>
  <c r="O237" i="4"/>
  <c r="O239" i="4"/>
  <c r="Q244" i="4"/>
  <c r="S244" i="4" s="1"/>
  <c r="O241" i="4"/>
  <c r="O242" i="4"/>
  <c r="O240" i="4"/>
  <c r="O238" i="4"/>
  <c r="M244" i="4"/>
  <c r="O244" i="4" s="1"/>
  <c r="E11" i="7" l="1"/>
  <c r="BG8" i="5"/>
  <c r="J244" i="4" l="1"/>
  <c r="E194" i="4" l="1"/>
  <c r="D143" i="4"/>
  <c r="X49" i="6" l="1"/>
  <c r="Y49" i="6" s="1"/>
  <c r="X48" i="6"/>
  <c r="Y48" i="6" s="1"/>
  <c r="X47" i="6"/>
  <c r="Y47" i="6" s="1"/>
  <c r="X46" i="6"/>
  <c r="Y46" i="6" s="1"/>
  <c r="X45" i="6"/>
  <c r="Y45" i="6" s="1"/>
  <c r="X44" i="6"/>
  <c r="Y44" i="6" s="1"/>
  <c r="X43" i="6"/>
  <c r="Y43" i="6" s="1"/>
  <c r="X42" i="6"/>
  <c r="Y42" i="6" s="1"/>
  <c r="X41" i="6"/>
  <c r="Y41" i="6" s="1"/>
  <c r="X40" i="6"/>
  <c r="Y40" i="6" s="1"/>
  <c r="X39" i="6"/>
  <c r="Y39" i="6" s="1"/>
  <c r="X38" i="6"/>
  <c r="Y38" i="6" s="1"/>
  <c r="X37" i="6"/>
  <c r="Y37" i="6" s="1"/>
  <c r="X36" i="6"/>
  <c r="Y36" i="6" s="1"/>
  <c r="X35" i="6"/>
  <c r="Y35" i="6" s="1"/>
  <c r="X34" i="6"/>
  <c r="Y34" i="6" s="1"/>
  <c r="X33" i="6"/>
  <c r="Y33" i="6" s="1"/>
  <c r="X32" i="6"/>
  <c r="Y32" i="6" s="1"/>
  <c r="B130" i="4" l="1"/>
  <c r="B129" i="4" s="1"/>
  <c r="B128" i="4" s="1"/>
  <c r="B127" i="4" s="1"/>
  <c r="B126" i="4" s="1"/>
  <c r="D10" i="4"/>
  <c r="C10" i="4"/>
  <c r="D9" i="4"/>
  <c r="C9" i="4"/>
  <c r="D8" i="4"/>
  <c r="C8" i="4"/>
  <c r="D7" i="4"/>
  <c r="C7" i="4"/>
  <c r="D6" i="4"/>
  <c r="C6" i="4"/>
  <c r="D5" i="4"/>
  <c r="C5" i="4"/>
  <c r="Y63" i="3"/>
  <c r="S63" i="3"/>
  <c r="X63" i="3" s="1"/>
  <c r="Y50" i="3"/>
  <c r="S50" i="3"/>
  <c r="X50" i="3" s="1"/>
  <c r="Y37" i="3"/>
  <c r="S37" i="3"/>
  <c r="Y24" i="3"/>
  <c r="S24" i="3"/>
  <c r="X24" i="3" s="1"/>
  <c r="Y11" i="3"/>
  <c r="S11" i="3"/>
  <c r="X11" i="3" s="1"/>
  <c r="J21" i="6"/>
  <c r="F21" i="6"/>
  <c r="K21" i="6" s="1"/>
  <c r="E21" i="6"/>
  <c r="L21" i="6" s="1"/>
  <c r="J20" i="6"/>
  <c r="F20" i="6"/>
  <c r="K20" i="6" s="1"/>
  <c r="J19" i="6"/>
  <c r="F19" i="6"/>
  <c r="K19" i="6" s="1"/>
  <c r="J18" i="6"/>
  <c r="F18" i="6"/>
  <c r="H17" i="6"/>
  <c r="J17" i="6" s="1"/>
  <c r="F17" i="6"/>
  <c r="J16" i="6"/>
  <c r="F16" i="6"/>
  <c r="J15" i="6"/>
  <c r="F15" i="6"/>
  <c r="H14" i="6"/>
  <c r="J14" i="6" s="1"/>
  <c r="F14" i="6"/>
  <c r="E14" i="6"/>
  <c r="L14" i="6" s="1"/>
  <c r="J13" i="6"/>
  <c r="F13" i="6"/>
  <c r="J12" i="6"/>
  <c r="F12" i="6"/>
  <c r="K12" i="6" s="1"/>
  <c r="J11" i="6"/>
  <c r="F11" i="6"/>
  <c r="K11" i="6" s="1"/>
  <c r="J10" i="6"/>
  <c r="F10" i="6"/>
  <c r="K10" i="6" s="1"/>
  <c r="J9" i="6"/>
  <c r="F9" i="6"/>
  <c r="K9" i="6" s="1"/>
  <c r="J8" i="6"/>
  <c r="F8" i="6"/>
  <c r="K8" i="6" s="1"/>
  <c r="E8" i="6"/>
  <c r="L8" i="6" s="1"/>
  <c r="J7" i="6"/>
  <c r="F7" i="6"/>
  <c r="K7" i="6" s="1"/>
  <c r="J6" i="6"/>
  <c r="F6" i="6"/>
  <c r="K6" i="6" s="1"/>
  <c r="J5" i="6"/>
  <c r="F5" i="6"/>
  <c r="K5" i="6" s="1"/>
  <c r="J4" i="6"/>
  <c r="F4" i="6"/>
  <c r="K4" i="6" s="1"/>
  <c r="AG33" i="5"/>
  <c r="AB33" i="5"/>
  <c r="W33" i="5"/>
  <c r="AG32" i="5"/>
  <c r="AB32" i="5"/>
  <c r="W32" i="5"/>
  <c r="AO32" i="5"/>
  <c r="AO31" i="5"/>
  <c r="AO30" i="5"/>
  <c r="AO29" i="5"/>
  <c r="AR29" i="5" s="1"/>
  <c r="AG28" i="5"/>
  <c r="AB28" i="5"/>
  <c r="AG27" i="5"/>
  <c r="AB27" i="5"/>
  <c r="W27" i="5"/>
  <c r="AO24" i="5"/>
  <c r="AO23" i="5"/>
  <c r="AG22" i="5"/>
  <c r="X22" i="5"/>
  <c r="AB22" i="5" s="1"/>
  <c r="S22" i="5"/>
  <c r="W22" i="5" s="1"/>
  <c r="AO21" i="5"/>
  <c r="AG21" i="5"/>
  <c r="AB21" i="5"/>
  <c r="W21" i="5"/>
  <c r="AO20" i="5"/>
  <c r="AO17" i="5"/>
  <c r="AG17" i="5"/>
  <c r="AB17" i="5"/>
  <c r="AO16" i="5"/>
  <c r="AG16" i="5"/>
  <c r="AB16" i="5"/>
  <c r="W16" i="5"/>
  <c r="AO15" i="5"/>
  <c r="AN15" i="5"/>
  <c r="AP15" i="5" s="1"/>
  <c r="AO14" i="5"/>
  <c r="AN14" i="5"/>
  <c r="AP14" i="5" s="1"/>
  <c r="AO13" i="5"/>
  <c r="AN13" i="5"/>
  <c r="AP13" i="5" s="1"/>
  <c r="AO12" i="5"/>
  <c r="AN12" i="5"/>
  <c r="AP12" i="5" s="1"/>
  <c r="AO11" i="5"/>
  <c r="AN11" i="5"/>
  <c r="AP11" i="5" s="1"/>
  <c r="AG11" i="5"/>
  <c r="X11" i="5"/>
  <c r="W11" i="5"/>
  <c r="AO10" i="5"/>
  <c r="AN10" i="5"/>
  <c r="AP10" i="5" s="1"/>
  <c r="AG10" i="5"/>
  <c r="AB10" i="5"/>
  <c r="W10" i="5"/>
  <c r="AO9" i="5"/>
  <c r="AN9" i="5"/>
  <c r="AP9" i="5" s="1"/>
  <c r="AO8" i="5"/>
  <c r="AO7" i="5"/>
  <c r="AO6" i="5"/>
  <c r="AP31" i="5"/>
  <c r="AO5" i="5"/>
  <c r="X35" i="1"/>
  <c r="AE34" i="1"/>
  <c r="AC34" i="1"/>
  <c r="X34" i="1"/>
  <c r="AH32" i="1"/>
  <c r="X30" i="1"/>
  <c r="AE29" i="1"/>
  <c r="AC29" i="1"/>
  <c r="X29" i="1"/>
  <c r="AH26" i="1"/>
  <c r="X25" i="1"/>
  <c r="AE24" i="1"/>
  <c r="AC24" i="1"/>
  <c r="X24" i="1"/>
  <c r="AH20" i="1"/>
  <c r="X20" i="1"/>
  <c r="AE19" i="1"/>
  <c r="X19" i="1"/>
  <c r="Z12" i="1"/>
  <c r="U12" i="1"/>
  <c r="B11" i="3" s="1"/>
  <c r="Z11" i="1"/>
  <c r="U11" i="1"/>
  <c r="Z10" i="1"/>
  <c r="U10" i="1"/>
  <c r="Z9" i="1"/>
  <c r="U9" i="1"/>
  <c r="Z8" i="1"/>
  <c r="U8" i="1"/>
  <c r="AN16" i="5" s="1"/>
  <c r="AP16" i="5" s="1"/>
  <c r="Z7" i="1"/>
  <c r="U7" i="1"/>
  <c r="Z6" i="1"/>
  <c r="U6" i="1"/>
  <c r="AQ31" i="5" l="1"/>
  <c r="AR31" i="5"/>
  <c r="AT31" i="5" s="1"/>
  <c r="BE15" i="5"/>
  <c r="BE14" i="5"/>
  <c r="AQ11" i="5"/>
  <c r="AR11" i="5"/>
  <c r="AQ12" i="5"/>
  <c r="AR12" i="5"/>
  <c r="AQ16" i="5"/>
  <c r="AR16" i="5"/>
  <c r="AQ9" i="5"/>
  <c r="AR9" i="5"/>
  <c r="AQ13" i="5"/>
  <c r="AR13" i="5"/>
  <c r="AR10" i="5"/>
  <c r="AQ10" i="5"/>
  <c r="AR15" i="5"/>
  <c r="AQ15" i="5"/>
  <c r="AQ14" i="5"/>
  <c r="AR14" i="5"/>
  <c r="E5" i="4"/>
  <c r="BC16" i="5"/>
  <c r="G34" i="7" s="1"/>
  <c r="K18" i="6"/>
  <c r="K14" i="6"/>
  <c r="N14" i="6" s="1"/>
  <c r="AW27" i="5"/>
  <c r="AU29" i="5"/>
  <c r="AX29" i="5"/>
  <c r="BC14" i="5"/>
  <c r="G32" i="7" s="1"/>
  <c r="BE17" i="5"/>
  <c r="BE16" i="5"/>
  <c r="AB11" i="5"/>
  <c r="BC15" i="5" s="1"/>
  <c r="G33" i="7" s="1"/>
  <c r="AR32" i="5"/>
  <c r="BD18" i="5"/>
  <c r="BD16" i="5"/>
  <c r="BD15" i="5"/>
  <c r="BD14" i="5"/>
  <c r="BD17" i="5"/>
  <c r="BE18" i="5"/>
  <c r="E8" i="4"/>
  <c r="N8" i="6"/>
  <c r="E9" i="4"/>
  <c r="W17" i="5"/>
  <c r="BD19" i="5" s="1"/>
  <c r="E6" i="4"/>
  <c r="E7" i="4"/>
  <c r="E10" i="4"/>
  <c r="BJ11" i="6"/>
  <c r="BJ10" i="6"/>
  <c r="BJ9" i="6"/>
  <c r="K15" i="6"/>
  <c r="BJ8" i="6"/>
  <c r="K16" i="6"/>
  <c r="K17" i="6"/>
  <c r="M8" i="6"/>
  <c r="N21" i="6"/>
  <c r="AT29" i="5"/>
  <c r="N9" i="7"/>
  <c r="F29" i="4" s="1"/>
  <c r="Y52" i="4"/>
  <c r="Y8" i="4"/>
  <c r="Y30" i="4"/>
  <c r="Y41" i="4"/>
  <c r="Y19" i="4"/>
  <c r="Y63" i="4"/>
  <c r="Y7" i="4"/>
  <c r="Y62" i="4"/>
  <c r="Y29" i="4"/>
  <c r="Y40" i="4"/>
  <c r="Y18" i="4"/>
  <c r="Y51" i="4"/>
  <c r="D9" i="7"/>
  <c r="E13" i="6"/>
  <c r="L13" i="6" s="1"/>
  <c r="E15" i="6"/>
  <c r="L15" i="6" s="1"/>
  <c r="AN20" i="5"/>
  <c r="AP20" i="5" s="1"/>
  <c r="AN19" i="5"/>
  <c r="AP19" i="5" s="1"/>
  <c r="AN18" i="5"/>
  <c r="AP18" i="5" s="1"/>
  <c r="AN17" i="5"/>
  <c r="AP17" i="5" s="1"/>
  <c r="K13" i="6"/>
  <c r="D6" i="7"/>
  <c r="E4" i="6"/>
  <c r="L4" i="6" s="1"/>
  <c r="N4" i="6" s="1"/>
  <c r="E6" i="6"/>
  <c r="L6" i="6" s="1"/>
  <c r="N6" i="6" s="1"/>
  <c r="M21" i="6"/>
  <c r="D10" i="7"/>
  <c r="E18" i="6"/>
  <c r="L18" i="6" s="1"/>
  <c r="E17" i="6"/>
  <c r="L17" i="6" s="1"/>
  <c r="AN5" i="5"/>
  <c r="AP5" i="5" s="1"/>
  <c r="AN7" i="5"/>
  <c r="AP7" i="5" s="1"/>
  <c r="AQ7" i="5" s="1"/>
  <c r="E5" i="6"/>
  <c r="L5" i="6" s="1"/>
  <c r="N5" i="6" s="1"/>
  <c r="Y27" i="4"/>
  <c r="Y16" i="4"/>
  <c r="Y60" i="4"/>
  <c r="Y38" i="4"/>
  <c r="Y49" i="4"/>
  <c r="Y5" i="4"/>
  <c r="Y64" i="4"/>
  <c r="Y31" i="4"/>
  <c r="Y42" i="4"/>
  <c r="Y20" i="4"/>
  <c r="Y53" i="4"/>
  <c r="Y9" i="4"/>
  <c r="D7" i="7"/>
  <c r="D11" i="7"/>
  <c r="E20" i="6"/>
  <c r="L20" i="6" s="1"/>
  <c r="N20" i="6" s="1"/>
  <c r="E19" i="6"/>
  <c r="L19" i="6" s="1"/>
  <c r="N19" i="6" s="1"/>
  <c r="AN29" i="5"/>
  <c r="AN30" i="5"/>
  <c r="AN31" i="5"/>
  <c r="AN32" i="5"/>
  <c r="E7" i="6"/>
  <c r="L7" i="6" s="1"/>
  <c r="Y28" i="4"/>
  <c r="Y50" i="4"/>
  <c r="Y39" i="4"/>
  <c r="Y17" i="4"/>
  <c r="Y61" i="4"/>
  <c r="Y6" i="4"/>
  <c r="AN22" i="5"/>
  <c r="AP22" i="5" s="1"/>
  <c r="AN24" i="5"/>
  <c r="AP24" i="5" s="1"/>
  <c r="W28" i="5"/>
  <c r="BE19" i="5" s="1"/>
  <c r="E9" i="6"/>
  <c r="L9" i="6" s="1"/>
  <c r="N9" i="6" s="1"/>
  <c r="E16" i="6"/>
  <c r="L16" i="6" s="1"/>
  <c r="Y32" i="4"/>
  <c r="Y54" i="4"/>
  <c r="Y10" i="4"/>
  <c r="Y65" i="4"/>
  <c r="Y43" i="4"/>
  <c r="Y21" i="4"/>
  <c r="AN23" i="5"/>
  <c r="AP23" i="5" s="1"/>
  <c r="D8" i="7"/>
  <c r="E12" i="6"/>
  <c r="L12" i="6" s="1"/>
  <c r="N12" i="6" s="1"/>
  <c r="E11" i="6"/>
  <c r="L11" i="6" s="1"/>
  <c r="N11" i="6" s="1"/>
  <c r="E10" i="6"/>
  <c r="L10" i="6" s="1"/>
  <c r="B10" i="3"/>
  <c r="V11" i="3"/>
  <c r="AN6" i="5"/>
  <c r="AP6" i="5" s="1"/>
  <c r="AQ6" i="5" s="1"/>
  <c r="AN8" i="5"/>
  <c r="AP8" i="5" s="1"/>
  <c r="AN21" i="5"/>
  <c r="AP21" i="5" s="1"/>
  <c r="X37" i="3"/>
  <c r="M14" i="6" l="1"/>
  <c r="AX9" i="5"/>
  <c r="AU9" i="5"/>
  <c r="AW9" i="5" s="1"/>
  <c r="AX13" i="5"/>
  <c r="AU13" i="5"/>
  <c r="AW13" i="5" s="1"/>
  <c r="AR24" i="5"/>
  <c r="AQ24" i="5"/>
  <c r="AR22" i="5"/>
  <c r="AQ22" i="5"/>
  <c r="AU22" i="5" s="1"/>
  <c r="AX22" i="5" s="1"/>
  <c r="AQ18" i="5"/>
  <c r="AR18" i="5"/>
  <c r="AQ5" i="5"/>
  <c r="AR5" i="5"/>
  <c r="AR21" i="5"/>
  <c r="AQ21" i="5"/>
  <c r="AR23" i="5"/>
  <c r="AQ23" i="5"/>
  <c r="AQ20" i="5"/>
  <c r="AR20" i="5"/>
  <c r="AQ8" i="5"/>
  <c r="AR8" i="5"/>
  <c r="AQ17" i="5"/>
  <c r="AR17" i="5"/>
  <c r="AQ19" i="5"/>
  <c r="AR19" i="5"/>
  <c r="X5" i="6"/>
  <c r="X8" i="6"/>
  <c r="X14" i="6"/>
  <c r="X21" i="6"/>
  <c r="X9" i="6"/>
  <c r="X20" i="6"/>
  <c r="X19" i="6"/>
  <c r="X4" i="6"/>
  <c r="X11" i="6"/>
  <c r="X12" i="6"/>
  <c r="X6" i="6"/>
  <c r="AU14" i="5"/>
  <c r="AW14" i="5" s="1"/>
  <c r="AX14" i="5"/>
  <c r="AX31" i="5"/>
  <c r="AU16" i="5"/>
  <c r="AW16" i="5" s="1"/>
  <c r="AX16" i="5"/>
  <c r="AW25" i="5"/>
  <c r="AZ25" i="5"/>
  <c r="AU10" i="5"/>
  <c r="AW10" i="5" s="1"/>
  <c r="AX10" i="5"/>
  <c r="AZ10" i="5" s="1"/>
  <c r="AU32" i="5"/>
  <c r="AX32" i="5"/>
  <c r="AU12" i="5"/>
  <c r="AW12" i="5" s="1"/>
  <c r="AX12" i="5"/>
  <c r="AZ27" i="5"/>
  <c r="AU15" i="5"/>
  <c r="AW15" i="5" s="1"/>
  <c r="AX15" i="5"/>
  <c r="AW26" i="5"/>
  <c r="AZ26" i="5"/>
  <c r="AU11" i="5"/>
  <c r="AW11" i="5" s="1"/>
  <c r="AX11" i="5"/>
  <c r="AU31" i="5"/>
  <c r="AW31" i="5" s="1"/>
  <c r="AT9" i="5"/>
  <c r="AT11" i="5"/>
  <c r="AT10" i="5"/>
  <c r="AT16" i="5"/>
  <c r="AT15" i="5"/>
  <c r="AT12" i="5"/>
  <c r="AT13" i="5"/>
  <c r="BG6" i="5"/>
  <c r="E8" i="7"/>
  <c r="AT32" i="5"/>
  <c r="AT14" i="5"/>
  <c r="N8" i="7"/>
  <c r="F28" i="4" s="1"/>
  <c r="AR30" i="5"/>
  <c r="E6" i="7"/>
  <c r="AW29" i="5"/>
  <c r="N15" i="6"/>
  <c r="BJ20" i="6"/>
  <c r="BJ23" i="6"/>
  <c r="BJ22" i="6"/>
  <c r="BJ21" i="6"/>
  <c r="BJ24" i="6"/>
  <c r="BJ27" i="6"/>
  <c r="BJ26" i="6"/>
  <c r="BJ25" i="6"/>
  <c r="BJ12" i="6"/>
  <c r="BJ15" i="6"/>
  <c r="BJ14" i="6"/>
  <c r="BJ13" i="6"/>
  <c r="BJ7" i="6"/>
  <c r="BJ5" i="6"/>
  <c r="BJ4" i="6"/>
  <c r="BJ6" i="6"/>
  <c r="BJ19" i="6"/>
  <c r="BJ16" i="6"/>
  <c r="BJ18" i="6"/>
  <c r="BJ17" i="6"/>
  <c r="N17" i="6"/>
  <c r="M11" i="6"/>
  <c r="N13" i="6"/>
  <c r="M4" i="6"/>
  <c r="M5" i="6"/>
  <c r="M20" i="6"/>
  <c r="M15" i="6"/>
  <c r="N10" i="6"/>
  <c r="M10" i="6"/>
  <c r="M12" i="6"/>
  <c r="C19" i="3"/>
  <c r="N11" i="7"/>
  <c r="F31" i="4" s="1"/>
  <c r="N10" i="7"/>
  <c r="F30" i="4" s="1"/>
  <c r="N16" i="6"/>
  <c r="M16" i="6"/>
  <c r="M9" i="6"/>
  <c r="M6" i="6"/>
  <c r="M17" i="6"/>
  <c r="N7" i="6"/>
  <c r="M7" i="6"/>
  <c r="N18" i="6"/>
  <c r="M18" i="6"/>
  <c r="M13" i="6"/>
  <c r="V63" i="3"/>
  <c r="V50" i="3"/>
  <c r="V37" i="3"/>
  <c r="V24" i="3"/>
  <c r="V10" i="3"/>
  <c r="B9" i="3"/>
  <c r="M19" i="6"/>
  <c r="AU24" i="5" l="1"/>
  <c r="AX17" i="5"/>
  <c r="AZ17" i="5" s="1"/>
  <c r="AU17" i="5"/>
  <c r="AW17" i="5" s="1"/>
  <c r="AU21" i="5"/>
  <c r="AW21" i="5" s="1"/>
  <c r="AX21" i="5"/>
  <c r="AX24" i="5"/>
  <c r="AU5" i="5"/>
  <c r="AW5" i="5" s="1"/>
  <c r="AX5" i="5"/>
  <c r="AZ5" i="5" s="1"/>
  <c r="AU8" i="5"/>
  <c r="AW8" i="5" s="1"/>
  <c r="AX8" i="5"/>
  <c r="AU23" i="5"/>
  <c r="X7" i="6"/>
  <c r="X16" i="6"/>
  <c r="X13" i="6"/>
  <c r="X15" i="6"/>
  <c r="X18" i="6"/>
  <c r="X10" i="6"/>
  <c r="X17" i="6"/>
  <c r="Y6" i="6"/>
  <c r="Z6" i="6" s="1"/>
  <c r="Y11" i="6"/>
  <c r="Z11" i="6" s="1"/>
  <c r="Y19" i="6"/>
  <c r="Z19" i="6" s="1"/>
  <c r="Y12" i="6"/>
  <c r="Z12" i="6" s="1"/>
  <c r="Y4" i="6"/>
  <c r="Z4" i="6" s="1"/>
  <c r="Y20" i="6"/>
  <c r="Z20" i="6" s="1"/>
  <c r="Y9" i="6"/>
  <c r="Z9" i="6" s="1"/>
  <c r="Y21" i="6"/>
  <c r="Z21" i="6" s="1"/>
  <c r="Y14" i="6"/>
  <c r="Z14" i="6" s="1"/>
  <c r="Y8" i="6"/>
  <c r="Z8" i="6" s="1"/>
  <c r="Y5" i="6"/>
  <c r="Z5" i="6" s="1"/>
  <c r="AZ31" i="5"/>
  <c r="AU20" i="5"/>
  <c r="AW20" i="5" s="1"/>
  <c r="AX20" i="5"/>
  <c r="AZ20" i="5" s="1"/>
  <c r="AU19" i="5"/>
  <c r="AW19" i="5" s="1"/>
  <c r="AX19" i="5"/>
  <c r="AU18" i="5"/>
  <c r="AW18" i="5" s="1"/>
  <c r="AX18" i="5"/>
  <c r="AZ18" i="5" s="1"/>
  <c r="AT5" i="5"/>
  <c r="AU30" i="5"/>
  <c r="AX30" i="5"/>
  <c r="AR6" i="5"/>
  <c r="AU6" i="5" s="1"/>
  <c r="AR7" i="5"/>
  <c r="AT7" i="5" s="1"/>
  <c r="BP15" i="5"/>
  <c r="C18" i="3"/>
  <c r="D18" i="4" s="1"/>
  <c r="AW32" i="5"/>
  <c r="BO15" i="5"/>
  <c r="AZ16" i="5"/>
  <c r="AT8" i="5"/>
  <c r="E7" i="7"/>
  <c r="AZ32" i="5"/>
  <c r="AZ12" i="5"/>
  <c r="AZ14" i="5"/>
  <c r="AZ11" i="5"/>
  <c r="AT20" i="5"/>
  <c r="AT21" i="5"/>
  <c r="AZ13" i="5"/>
  <c r="AT30" i="5"/>
  <c r="BO19" i="5" s="1"/>
  <c r="BI19" i="5" s="1"/>
  <c r="J37" i="7" s="1"/>
  <c r="AT23" i="5"/>
  <c r="AT17" i="5"/>
  <c r="AZ9" i="5"/>
  <c r="AT18" i="5"/>
  <c r="AT19" i="5"/>
  <c r="AT22" i="5"/>
  <c r="AW22" i="5"/>
  <c r="AZ15" i="5"/>
  <c r="AT24" i="5"/>
  <c r="AW24" i="5"/>
  <c r="N7" i="7"/>
  <c r="BG5" i="5"/>
  <c r="N6" i="7"/>
  <c r="BG4" i="5"/>
  <c r="AZ29" i="5"/>
  <c r="C21" i="3"/>
  <c r="D19" i="4"/>
  <c r="V9" i="3"/>
  <c r="B8" i="3"/>
  <c r="C20" i="3"/>
  <c r="V23" i="3"/>
  <c r="V62" i="3"/>
  <c r="V49" i="3"/>
  <c r="V36" i="3"/>
  <c r="AW23" i="5" l="1"/>
  <c r="BP18" i="5" s="1"/>
  <c r="AX23" i="5"/>
  <c r="AZ23" i="5" s="1"/>
  <c r="I51" i="7"/>
  <c r="BJ15" i="5"/>
  <c r="I49" i="7"/>
  <c r="BI15" i="5"/>
  <c r="AT6" i="5"/>
  <c r="BO14" i="5" s="1"/>
  <c r="AX6" i="5"/>
  <c r="AZ6" i="5" s="1"/>
  <c r="AA5" i="6"/>
  <c r="AB5" i="6"/>
  <c r="AA21" i="6"/>
  <c r="AB21" i="6"/>
  <c r="AA12" i="6"/>
  <c r="AB12" i="6"/>
  <c r="AA11" i="6"/>
  <c r="AB11" i="6"/>
  <c r="Y10" i="6"/>
  <c r="Z10" i="6" s="1"/>
  <c r="Y15" i="6"/>
  <c r="Z15" i="6" s="1"/>
  <c r="Y7" i="6"/>
  <c r="Z7" i="6" s="1"/>
  <c r="Y13" i="6"/>
  <c r="Z13" i="6" s="1"/>
  <c r="Y16" i="6"/>
  <c r="Z16" i="6" s="1"/>
  <c r="Y17" i="6"/>
  <c r="Z17" i="6" s="1"/>
  <c r="AA9" i="6"/>
  <c r="AB9" i="6"/>
  <c r="AB8" i="6"/>
  <c r="AA8" i="6"/>
  <c r="AB20" i="6"/>
  <c r="AA20" i="6"/>
  <c r="AA19" i="6"/>
  <c r="AB19" i="6"/>
  <c r="AB6" i="6"/>
  <c r="AA6" i="6"/>
  <c r="Y18" i="6"/>
  <c r="Z18" i="6" s="1"/>
  <c r="AA14" i="6"/>
  <c r="AB14" i="6"/>
  <c r="AA4" i="6"/>
  <c r="AB4" i="6"/>
  <c r="BO17" i="5"/>
  <c r="BI17" i="5" s="1"/>
  <c r="J35" i="7" s="1"/>
  <c r="BO18" i="5"/>
  <c r="M62" i="7"/>
  <c r="BO16" i="5"/>
  <c r="C27" i="4"/>
  <c r="AX7" i="5"/>
  <c r="AZ7" i="5" s="1"/>
  <c r="AU7" i="5"/>
  <c r="AW7" i="5" s="1"/>
  <c r="BP25" i="5"/>
  <c r="AW6" i="5"/>
  <c r="BP17" i="5"/>
  <c r="BI5" i="5"/>
  <c r="AZ19" i="5"/>
  <c r="BQ16" i="5" s="1"/>
  <c r="M52" i="7" s="1"/>
  <c r="BO25" i="5"/>
  <c r="AZ21" i="5"/>
  <c r="AW30" i="5"/>
  <c r="BP19" i="5" s="1"/>
  <c r="BJ19" i="5" s="1"/>
  <c r="AZ24" i="5"/>
  <c r="AZ8" i="5"/>
  <c r="AZ22" i="5"/>
  <c r="BQ15" i="5"/>
  <c r="I52" i="7" s="1"/>
  <c r="BP16" i="5"/>
  <c r="F11" i="7"/>
  <c r="G11" i="7" s="1"/>
  <c r="C31" i="4"/>
  <c r="BO29" i="5"/>
  <c r="F27" i="4"/>
  <c r="C17" i="3"/>
  <c r="D17" i="4" s="1"/>
  <c r="F26" i="4"/>
  <c r="C16" i="3"/>
  <c r="D16" i="4" s="1"/>
  <c r="D20" i="4"/>
  <c r="V22" i="3"/>
  <c r="V48" i="3"/>
  <c r="V61" i="3"/>
  <c r="V35" i="3"/>
  <c r="V8" i="3"/>
  <c r="B7" i="3"/>
  <c r="D21" i="4"/>
  <c r="J33" i="7" l="1"/>
  <c r="V33" i="7" s="1"/>
  <c r="J47" i="7"/>
  <c r="R7" i="7" s="1"/>
  <c r="N64" i="7"/>
  <c r="J51" i="7"/>
  <c r="BQ14" i="5"/>
  <c r="E64" i="7"/>
  <c r="BJ17" i="5"/>
  <c r="M49" i="7"/>
  <c r="BI16" i="5"/>
  <c r="J34" i="7" s="1"/>
  <c r="E49" i="7"/>
  <c r="BI14" i="5"/>
  <c r="J32" i="7" s="1"/>
  <c r="P6" i="4"/>
  <c r="P17" i="4"/>
  <c r="P39" i="4"/>
  <c r="P28" i="4"/>
  <c r="P50" i="4"/>
  <c r="P61" i="4"/>
  <c r="P72" i="4"/>
  <c r="P83" i="4"/>
  <c r="M51" i="7"/>
  <c r="BJ16" i="5"/>
  <c r="F10" i="7"/>
  <c r="G10" i="7" s="1"/>
  <c r="I62" i="7"/>
  <c r="BI18" i="5"/>
  <c r="J36" i="7" s="1"/>
  <c r="I64" i="7"/>
  <c r="BJ18" i="5"/>
  <c r="P32" i="4"/>
  <c r="P43" i="4"/>
  <c r="P10" i="4"/>
  <c r="P54" i="4"/>
  <c r="P21" i="4"/>
  <c r="P65" i="4"/>
  <c r="P76" i="4"/>
  <c r="P87" i="4"/>
  <c r="AB7" i="6"/>
  <c r="AA7" i="6"/>
  <c r="AC21" i="6"/>
  <c r="AG21" i="6"/>
  <c r="AF21" i="6"/>
  <c r="AA10" i="6"/>
  <c r="AB10" i="6"/>
  <c r="AC4" i="6"/>
  <c r="AF4" i="6"/>
  <c r="AG4" i="6"/>
  <c r="AC19" i="6"/>
  <c r="AG19" i="6"/>
  <c r="AF19" i="6"/>
  <c r="AC9" i="6"/>
  <c r="AF9" i="6"/>
  <c r="AG9" i="6"/>
  <c r="AB16" i="6"/>
  <c r="AA16" i="6"/>
  <c r="AC11" i="6"/>
  <c r="AG11" i="6"/>
  <c r="AF11" i="6"/>
  <c r="AC8" i="6"/>
  <c r="AF8" i="6"/>
  <c r="AG8" i="6"/>
  <c r="AC6" i="6"/>
  <c r="AG6" i="6"/>
  <c r="AF6" i="6"/>
  <c r="AC20" i="6"/>
  <c r="AG20" i="6"/>
  <c r="AF20" i="6"/>
  <c r="AC14" i="6"/>
  <c r="AG14" i="6"/>
  <c r="AF14" i="6"/>
  <c r="AA18" i="6"/>
  <c r="AB18" i="6"/>
  <c r="AA17" i="6"/>
  <c r="AB17" i="6"/>
  <c r="AA13" i="6"/>
  <c r="AB13" i="6"/>
  <c r="AA15" i="6"/>
  <c r="AB15" i="6"/>
  <c r="AC12" i="6"/>
  <c r="AF12" i="6"/>
  <c r="AG12" i="6"/>
  <c r="AC5" i="6"/>
  <c r="AG5" i="6"/>
  <c r="AF5" i="6"/>
  <c r="BP14" i="5"/>
  <c r="C30" i="4"/>
  <c r="BQ18" i="5"/>
  <c r="P94" i="4"/>
  <c r="P105" i="4"/>
  <c r="P116" i="4"/>
  <c r="P98" i="4"/>
  <c r="P120" i="4"/>
  <c r="P109" i="4"/>
  <c r="E62" i="7"/>
  <c r="BO28" i="5"/>
  <c r="P219" i="4"/>
  <c r="P208" i="4"/>
  <c r="P197" i="4"/>
  <c r="P186" i="4"/>
  <c r="P142" i="4"/>
  <c r="P164" i="4"/>
  <c r="P131" i="4"/>
  <c r="P175" i="4"/>
  <c r="P153" i="4"/>
  <c r="P215" i="4"/>
  <c r="P160" i="4"/>
  <c r="P149" i="4"/>
  <c r="P204" i="4"/>
  <c r="P138" i="4"/>
  <c r="P171" i="4"/>
  <c r="P127" i="4"/>
  <c r="P182" i="4"/>
  <c r="P193" i="4"/>
  <c r="V37" i="7"/>
  <c r="F6" i="7"/>
  <c r="G6" i="7" s="1"/>
  <c r="BQ17" i="5"/>
  <c r="BO24" i="5"/>
  <c r="C26" i="4"/>
  <c r="F7" i="7"/>
  <c r="G7" i="7" s="1"/>
  <c r="AZ30" i="5"/>
  <c r="BQ19" i="5" s="1"/>
  <c r="BP26" i="5"/>
  <c r="BQ25" i="5"/>
  <c r="BK15" i="5"/>
  <c r="BP27" i="5"/>
  <c r="BP28" i="5"/>
  <c r="C29" i="4"/>
  <c r="BO27" i="5"/>
  <c r="M64" i="7"/>
  <c r="BQ26" i="5"/>
  <c r="BK16" i="5"/>
  <c r="C28" i="4"/>
  <c r="BO26" i="5"/>
  <c r="BI9" i="5"/>
  <c r="V34" i="3"/>
  <c r="V60" i="3"/>
  <c r="V21" i="3"/>
  <c r="V47" i="3"/>
  <c r="V7" i="3"/>
  <c r="B6" i="3"/>
  <c r="V32" i="7" l="1"/>
  <c r="F47" i="7"/>
  <c r="N51" i="7"/>
  <c r="F64" i="7"/>
  <c r="J64" i="7"/>
  <c r="J52" i="7"/>
  <c r="BL15" i="5"/>
  <c r="BR15" i="5"/>
  <c r="N52" i="7"/>
  <c r="BL16" i="5"/>
  <c r="BR16" i="5"/>
  <c r="P30" i="4"/>
  <c r="P41" i="4"/>
  <c r="P8" i="4"/>
  <c r="P19" i="4"/>
  <c r="P52" i="4"/>
  <c r="P85" i="4"/>
  <c r="P74" i="4"/>
  <c r="P63" i="4"/>
  <c r="P18" i="4"/>
  <c r="P29" i="4"/>
  <c r="P40" i="4"/>
  <c r="P51" i="4"/>
  <c r="P7" i="4"/>
  <c r="P84" i="4"/>
  <c r="P73" i="4"/>
  <c r="P62" i="4"/>
  <c r="BP24" i="5"/>
  <c r="BJ14" i="5"/>
  <c r="P16" i="4"/>
  <c r="P27" i="4"/>
  <c r="P38" i="4"/>
  <c r="P5" i="4"/>
  <c r="P49" i="4"/>
  <c r="P82" i="4"/>
  <c r="P71" i="4"/>
  <c r="P60" i="4"/>
  <c r="BI8" i="5"/>
  <c r="P20" i="4"/>
  <c r="P9" i="4"/>
  <c r="P31" i="4"/>
  <c r="P42" i="4"/>
  <c r="P53" i="4"/>
  <c r="P86" i="4"/>
  <c r="P64" i="4"/>
  <c r="P75" i="4"/>
  <c r="AD19" i="6"/>
  <c r="AE19" i="6"/>
  <c r="AD8" i="6"/>
  <c r="AE8" i="6"/>
  <c r="AC16" i="6"/>
  <c r="AG16" i="6"/>
  <c r="AF16" i="6"/>
  <c r="AD21" i="6"/>
  <c r="AE21" i="6"/>
  <c r="AC18" i="6"/>
  <c r="AF18" i="6"/>
  <c r="AG18" i="6"/>
  <c r="AC15" i="6"/>
  <c r="AF15" i="6"/>
  <c r="AG15" i="6"/>
  <c r="AD14" i="6"/>
  <c r="AE14" i="6"/>
  <c r="AD5" i="6"/>
  <c r="AE5" i="6"/>
  <c r="AC13" i="6"/>
  <c r="AG13" i="6"/>
  <c r="AF13" i="6"/>
  <c r="AD11" i="6"/>
  <c r="AE11" i="6"/>
  <c r="AD12" i="6"/>
  <c r="AE12" i="6"/>
  <c r="AD9" i="6"/>
  <c r="AE9" i="6"/>
  <c r="AD4" i="6"/>
  <c r="AE4" i="6"/>
  <c r="AC17" i="6"/>
  <c r="AG17" i="6"/>
  <c r="AF17" i="6"/>
  <c r="AD20" i="6"/>
  <c r="AE20" i="6"/>
  <c r="AD6" i="6"/>
  <c r="AH6" i="6" s="1"/>
  <c r="AI6" i="6" s="1"/>
  <c r="AE6" i="6"/>
  <c r="AC10" i="6"/>
  <c r="AF10" i="6"/>
  <c r="AG10" i="6"/>
  <c r="AC7" i="6"/>
  <c r="AG7" i="6"/>
  <c r="AF7" i="6"/>
  <c r="E51" i="7"/>
  <c r="P185" i="4"/>
  <c r="P141" i="4"/>
  <c r="P174" i="4"/>
  <c r="P207" i="4"/>
  <c r="P218" i="4"/>
  <c r="P163" i="4"/>
  <c r="P152" i="4"/>
  <c r="P130" i="4"/>
  <c r="P196" i="4"/>
  <c r="P97" i="4"/>
  <c r="P119" i="4"/>
  <c r="P108" i="4"/>
  <c r="P96" i="4"/>
  <c r="P107" i="4"/>
  <c r="P118" i="4"/>
  <c r="P106" i="4"/>
  <c r="P117" i="4"/>
  <c r="P95" i="4"/>
  <c r="P115" i="4"/>
  <c r="P104" i="4"/>
  <c r="P93" i="4"/>
  <c r="BJ8" i="5"/>
  <c r="BQ29" i="5"/>
  <c r="M65" i="7"/>
  <c r="P172" i="4"/>
  <c r="P161" i="4"/>
  <c r="P194" i="4"/>
  <c r="P183" i="4"/>
  <c r="P205" i="4"/>
  <c r="P150" i="4"/>
  <c r="P128" i="4"/>
  <c r="P216" i="4"/>
  <c r="P139" i="4"/>
  <c r="P184" i="4"/>
  <c r="P173" i="4"/>
  <c r="P162" i="4"/>
  <c r="P151" i="4"/>
  <c r="P140" i="4"/>
  <c r="P206" i="4"/>
  <c r="P129" i="4"/>
  <c r="P217" i="4"/>
  <c r="P195" i="4"/>
  <c r="BQ27" i="5"/>
  <c r="E65" i="7"/>
  <c r="BQ28" i="5"/>
  <c r="I65" i="7"/>
  <c r="P170" i="4"/>
  <c r="P126" i="4"/>
  <c r="P214" i="4"/>
  <c r="P159" i="4"/>
  <c r="P181" i="4"/>
  <c r="P148" i="4"/>
  <c r="P192" i="4"/>
  <c r="P203" i="4"/>
  <c r="P137" i="4"/>
  <c r="BQ24" i="5"/>
  <c r="E52" i="7"/>
  <c r="BJ9" i="5"/>
  <c r="BJ6" i="5"/>
  <c r="BJ7" i="5"/>
  <c r="BJ5" i="5"/>
  <c r="BK18" i="5"/>
  <c r="BP29" i="5"/>
  <c r="BK17" i="5"/>
  <c r="BK19" i="5"/>
  <c r="BI4" i="5"/>
  <c r="BK14" i="5"/>
  <c r="F9" i="7"/>
  <c r="G9" i="7" s="1"/>
  <c r="BI7" i="5"/>
  <c r="F8" i="7"/>
  <c r="G8" i="7" s="1"/>
  <c r="BI6" i="5"/>
  <c r="V6" i="3"/>
  <c r="B5" i="3"/>
  <c r="V20" i="3"/>
  <c r="V46" i="3"/>
  <c r="V59" i="3"/>
  <c r="V33" i="3"/>
  <c r="N53" i="7" l="1"/>
  <c r="N54" i="7"/>
  <c r="J53" i="7"/>
  <c r="J54" i="7"/>
  <c r="BJ4" i="5"/>
  <c r="BR25" i="5"/>
  <c r="I54" i="7"/>
  <c r="BR26" i="5"/>
  <c r="M54" i="7"/>
  <c r="F51" i="7"/>
  <c r="N65" i="7"/>
  <c r="BL19" i="5"/>
  <c r="N66" i="7" s="1"/>
  <c r="BR19" i="5"/>
  <c r="F65" i="7"/>
  <c r="BL17" i="5"/>
  <c r="F66" i="7" s="1"/>
  <c r="BR17" i="5"/>
  <c r="F52" i="7"/>
  <c r="BL14" i="5"/>
  <c r="BR14" i="5"/>
  <c r="J65" i="7"/>
  <c r="BL18" i="5"/>
  <c r="J66" i="7" s="1"/>
  <c r="BR18" i="5"/>
  <c r="AH14" i="6"/>
  <c r="AI14" i="6" s="1"/>
  <c r="AU14" i="6" s="1"/>
  <c r="AH19" i="6"/>
  <c r="AI19" i="6" s="1"/>
  <c r="AJ19" i="6" s="1"/>
  <c r="BY4" i="6"/>
  <c r="AH21" i="6"/>
  <c r="AI21" i="6" s="1"/>
  <c r="AU21" i="6" s="1"/>
  <c r="AH11" i="6"/>
  <c r="AI11" i="6" s="1"/>
  <c r="AK11" i="6" s="1"/>
  <c r="AK6" i="6"/>
  <c r="AJ6" i="6"/>
  <c r="AH8" i="6"/>
  <c r="AI8" i="6" s="1"/>
  <c r="AU8" i="6" s="1"/>
  <c r="AH4" i="6"/>
  <c r="AI4" i="6" s="1"/>
  <c r="AD16" i="6"/>
  <c r="AE16" i="6"/>
  <c r="AH9" i="6"/>
  <c r="AI9" i="6" s="1"/>
  <c r="AD7" i="6"/>
  <c r="AE7" i="6"/>
  <c r="AH20" i="6"/>
  <c r="AI20" i="6" s="1"/>
  <c r="AD15" i="6"/>
  <c r="AE15" i="6"/>
  <c r="AH12" i="6"/>
  <c r="AI12" i="6" s="1"/>
  <c r="AD13" i="6"/>
  <c r="AE13" i="6"/>
  <c r="AH5" i="6"/>
  <c r="AI5" i="6" s="1"/>
  <c r="AD10" i="6"/>
  <c r="AE10" i="6"/>
  <c r="AD17" i="6"/>
  <c r="AE17" i="6"/>
  <c r="AD18" i="6"/>
  <c r="AE18" i="6"/>
  <c r="D5" i="3"/>
  <c r="D11" i="3"/>
  <c r="D10" i="3"/>
  <c r="D9" i="3"/>
  <c r="D8" i="3"/>
  <c r="D7" i="3"/>
  <c r="D6" i="3"/>
  <c r="V36" i="7"/>
  <c r="V34" i="7"/>
  <c r="V35" i="7"/>
  <c r="V5" i="3"/>
  <c r="V18" i="3" s="1"/>
  <c r="CB4" i="6"/>
  <c r="BZ4" i="6"/>
  <c r="CC18" i="6"/>
  <c r="CB18" i="6"/>
  <c r="CA18" i="6"/>
  <c r="CA4" i="6"/>
  <c r="BY18" i="6"/>
  <c r="BZ18" i="6"/>
  <c r="CD18" i="6"/>
  <c r="CC4" i="6"/>
  <c r="V58" i="3"/>
  <c r="V45" i="3"/>
  <c r="V32" i="3"/>
  <c r="V19" i="3"/>
  <c r="F53" i="7" l="1"/>
  <c r="F54" i="7"/>
  <c r="BR29" i="5"/>
  <c r="M66" i="7"/>
  <c r="BR28" i="5"/>
  <c r="I66" i="7"/>
  <c r="BR27" i="5"/>
  <c r="E66" i="7"/>
  <c r="BR24" i="5"/>
  <c r="E54" i="7"/>
  <c r="AJ14" i="6"/>
  <c r="AQ14" i="6" s="1"/>
  <c r="AS14" i="6" s="1"/>
  <c r="AT14" i="6" s="1"/>
  <c r="CB10" i="6" s="1"/>
  <c r="AK14" i="6"/>
  <c r="AJ21" i="6"/>
  <c r="AQ21" i="6" s="1"/>
  <c r="AS21" i="6" s="1"/>
  <c r="AT21" i="6" s="1"/>
  <c r="CD15" i="6" s="1"/>
  <c r="AK21" i="6"/>
  <c r="AZ21" i="6" s="1"/>
  <c r="BC21" i="6" s="1"/>
  <c r="CD17" i="6" s="1"/>
  <c r="AK19" i="6"/>
  <c r="AZ19" i="6" s="1"/>
  <c r="AU19" i="6"/>
  <c r="AW19" i="6" s="1"/>
  <c r="BY9" i="6"/>
  <c r="BY8" i="6"/>
  <c r="BY13" i="6"/>
  <c r="BY14" i="6"/>
  <c r="CA14" i="6"/>
  <c r="CA13" i="6"/>
  <c r="CC8" i="6"/>
  <c r="CC9" i="6"/>
  <c r="CD8" i="6"/>
  <c r="CD9" i="6"/>
  <c r="CB13" i="6"/>
  <c r="CB14" i="6"/>
  <c r="CC13" i="6"/>
  <c r="CC14" i="6"/>
  <c r="BZ8" i="6"/>
  <c r="BZ9" i="6"/>
  <c r="BZ14" i="6"/>
  <c r="BZ13" i="6"/>
  <c r="CD13" i="6"/>
  <c r="CD14" i="6"/>
  <c r="CA8" i="6"/>
  <c r="CA9" i="6"/>
  <c r="CB8" i="6"/>
  <c r="CB9" i="6"/>
  <c r="AW21" i="6"/>
  <c r="AW8" i="6"/>
  <c r="AW14" i="6"/>
  <c r="AX14" i="6"/>
  <c r="AY14" i="6" s="1"/>
  <c r="CB11" i="6" s="1"/>
  <c r="AJ11" i="6"/>
  <c r="AQ11" i="6" s="1"/>
  <c r="AS11" i="6" s="1"/>
  <c r="AT11" i="6" s="1"/>
  <c r="CA10" i="6" s="1"/>
  <c r="AH17" i="6"/>
  <c r="AI17" i="6" s="1"/>
  <c r="AJ17" i="6" s="1"/>
  <c r="AQ17" i="6" s="1"/>
  <c r="AS17" i="6" s="1"/>
  <c r="AT17" i="6" s="1"/>
  <c r="CC10" i="6" s="1"/>
  <c r="AH13" i="6"/>
  <c r="AI13" i="6" s="1"/>
  <c r="AU13" i="6" s="1"/>
  <c r="AH7" i="6"/>
  <c r="AI7" i="6" s="1"/>
  <c r="AJ7" i="6" s="1"/>
  <c r="AH16" i="6"/>
  <c r="AI16" i="6" s="1"/>
  <c r="AJ16" i="6" s="1"/>
  <c r="AJ5" i="6"/>
  <c r="AQ5" i="6" s="1"/>
  <c r="AS5" i="6" s="1"/>
  <c r="AK5" i="6"/>
  <c r="AH18" i="6"/>
  <c r="AI18" i="6" s="1"/>
  <c r="AJ12" i="6"/>
  <c r="AQ12" i="6" s="1"/>
  <c r="AS12" i="6" s="1"/>
  <c r="AT12" i="6" s="1"/>
  <c r="CA15" i="6" s="1"/>
  <c r="AK12" i="6"/>
  <c r="AU4" i="6"/>
  <c r="AJ4" i="6"/>
  <c r="AK4" i="6"/>
  <c r="AK20" i="6"/>
  <c r="AJ20" i="6"/>
  <c r="AQ20" i="6" s="1"/>
  <c r="AS20" i="6" s="1"/>
  <c r="AT20" i="6" s="1"/>
  <c r="CD10" i="6" s="1"/>
  <c r="AH10" i="6"/>
  <c r="AI10" i="6" s="1"/>
  <c r="AU10" i="6" s="1"/>
  <c r="AK8" i="6"/>
  <c r="AZ8" i="6" s="1"/>
  <c r="BC8" i="6" s="1"/>
  <c r="BZ12" i="6" s="1"/>
  <c r="AJ8" i="6"/>
  <c r="AQ8" i="6" s="1"/>
  <c r="AS8" i="6" s="1"/>
  <c r="AT8" i="6" s="1"/>
  <c r="BZ10" i="6" s="1"/>
  <c r="AH15" i="6"/>
  <c r="AI15" i="6" s="1"/>
  <c r="AJ9" i="6"/>
  <c r="AQ9" i="6" s="1"/>
  <c r="AS9" i="6" s="1"/>
  <c r="AT9" i="6" s="1"/>
  <c r="BZ15" i="6" s="1"/>
  <c r="AK9" i="6"/>
  <c r="C6" i="3"/>
  <c r="C10" i="3"/>
  <c r="C8" i="3"/>
  <c r="C7" i="3"/>
  <c r="V31" i="3"/>
  <c r="C9" i="3"/>
  <c r="C5" i="3"/>
  <c r="K5" i="3" s="1"/>
  <c r="AU6" i="6"/>
  <c r="AU5" i="6"/>
  <c r="AU9" i="6"/>
  <c r="AU20" i="6"/>
  <c r="AZ14" i="6"/>
  <c r="BC14" i="6" s="1"/>
  <c r="CB12" i="6" s="1"/>
  <c r="AU11" i="6"/>
  <c r="AU12" i="6"/>
  <c r="V57" i="3"/>
  <c r="V44" i="3"/>
  <c r="AQ6" i="6"/>
  <c r="AS6" i="6" s="1"/>
  <c r="AT6" i="6" s="1"/>
  <c r="BY15" i="6" s="1"/>
  <c r="AQ19" i="6"/>
  <c r="CN16" i="6" l="1"/>
  <c r="AX21" i="6"/>
  <c r="AY21" i="6" s="1"/>
  <c r="CD16" i="6" s="1"/>
  <c r="CN19" i="6"/>
  <c r="AX19" i="6"/>
  <c r="AY19" i="6" s="1"/>
  <c r="CD6" i="6" s="1"/>
  <c r="CM19" i="6"/>
  <c r="AX8" i="6"/>
  <c r="AY8" i="6" s="1"/>
  <c r="BZ11" i="6" s="1"/>
  <c r="CN14" i="6"/>
  <c r="AW11" i="6"/>
  <c r="AX11" i="6"/>
  <c r="AY11" i="6" s="1"/>
  <c r="CA11" i="6" s="1"/>
  <c r="AW5" i="6"/>
  <c r="AX5" i="6"/>
  <c r="AY5" i="6" s="1"/>
  <c r="BY11" i="6" s="1"/>
  <c r="AW4" i="6"/>
  <c r="AW6" i="6"/>
  <c r="AX6" i="6"/>
  <c r="AY6" i="6" s="1"/>
  <c r="BY16" i="6" s="1"/>
  <c r="AW10" i="6"/>
  <c r="AW9" i="6"/>
  <c r="AX9" i="6"/>
  <c r="AY9" i="6" s="1"/>
  <c r="BZ16" i="6" s="1"/>
  <c r="AW12" i="6"/>
  <c r="AX12" i="6"/>
  <c r="AY12" i="6" s="1"/>
  <c r="CA16" i="6" s="1"/>
  <c r="AW20" i="6"/>
  <c r="AX20" i="6"/>
  <c r="AY20" i="6" s="1"/>
  <c r="CD11" i="6" s="1"/>
  <c r="AW13" i="6"/>
  <c r="AT5" i="6"/>
  <c r="BY10" i="6" s="1"/>
  <c r="AK17" i="6"/>
  <c r="AZ17" i="6" s="1"/>
  <c r="AU17" i="6"/>
  <c r="AK13" i="6"/>
  <c r="AZ13" i="6" s="1"/>
  <c r="AJ13" i="6"/>
  <c r="AQ13" i="6" s="1"/>
  <c r="AU7" i="6"/>
  <c r="CN15" i="6" s="1"/>
  <c r="AK7" i="6"/>
  <c r="AZ7" i="6" s="1"/>
  <c r="AU16" i="6"/>
  <c r="AK16" i="6"/>
  <c r="AZ16" i="6" s="1"/>
  <c r="BB21" i="6"/>
  <c r="AJ18" i="6"/>
  <c r="AQ18" i="6" s="1"/>
  <c r="AS18" i="6" s="1"/>
  <c r="AT18" i="6" s="1"/>
  <c r="CC15" i="6" s="1"/>
  <c r="AK18" i="6"/>
  <c r="BB14" i="6"/>
  <c r="BB8" i="6"/>
  <c r="AJ15" i="6"/>
  <c r="AQ15" i="6" s="1"/>
  <c r="AS15" i="6" s="1"/>
  <c r="AT15" i="6" s="1"/>
  <c r="CB15" i="6" s="1"/>
  <c r="AK15" i="6"/>
  <c r="AZ15" i="6" s="1"/>
  <c r="AK10" i="6"/>
  <c r="AZ10" i="6" s="1"/>
  <c r="AJ10" i="6"/>
  <c r="AQ10" i="6" s="1"/>
  <c r="BC19" i="6"/>
  <c r="CD7" i="6" s="1"/>
  <c r="AU15" i="6"/>
  <c r="CN17" i="6" s="1"/>
  <c r="G24" i="7"/>
  <c r="AZ5" i="6"/>
  <c r="BC5" i="6" s="1"/>
  <c r="BY12" i="6" s="1"/>
  <c r="AZ9" i="6"/>
  <c r="BC9" i="6" s="1"/>
  <c r="BZ17" i="6" s="1"/>
  <c r="AZ6" i="6"/>
  <c r="BC6" i="6" s="1"/>
  <c r="BY17" i="6" s="1"/>
  <c r="AS19" i="6"/>
  <c r="AT19" i="6" s="1"/>
  <c r="CD5" i="6" s="1"/>
  <c r="AZ20" i="6"/>
  <c r="BC20" i="6" s="1"/>
  <c r="CD12" i="6" s="1"/>
  <c r="AZ12" i="6"/>
  <c r="BC12" i="6" s="1"/>
  <c r="CA17" i="6" s="1"/>
  <c r="AU18" i="6"/>
  <c r="AZ11" i="6"/>
  <c r="BC11" i="6" s="1"/>
  <c r="CA12" i="6" s="1"/>
  <c r="AQ4" i="6"/>
  <c r="AQ16" i="6"/>
  <c r="AQ7" i="6"/>
  <c r="CH19" i="6" l="1"/>
  <c r="CR19" i="6" s="1"/>
  <c r="CW19" i="6" s="1"/>
  <c r="CJ19" i="6"/>
  <c r="CT19" i="6" s="1"/>
  <c r="CO19" i="6"/>
  <c r="CI19" i="6"/>
  <c r="CS19" i="6" s="1"/>
  <c r="CP19" i="6"/>
  <c r="CN18" i="6"/>
  <c r="AS16" i="6"/>
  <c r="AT16" i="6" s="1"/>
  <c r="CC5" i="6" s="1"/>
  <c r="CH16" i="6" s="1"/>
  <c r="CR18" i="6" s="1"/>
  <c r="CM18" i="6"/>
  <c r="BC13" i="6"/>
  <c r="CB7" i="6" s="1"/>
  <c r="CO17" i="6"/>
  <c r="CP17" i="6"/>
  <c r="AS13" i="6"/>
  <c r="AT13" i="6" s="1"/>
  <c r="CB5" i="6" s="1"/>
  <c r="CH13" i="6" s="1"/>
  <c r="CR17" i="6" s="1"/>
  <c r="CM17" i="6"/>
  <c r="G22" i="7" s="1"/>
  <c r="AX10" i="6"/>
  <c r="AY10" i="6" s="1"/>
  <c r="CA6" i="6" s="1"/>
  <c r="CI10" i="6" s="1"/>
  <c r="CS16" i="6" s="1"/>
  <c r="CM16" i="6"/>
  <c r="CP16" i="6"/>
  <c r="CO16" i="6"/>
  <c r="CP15" i="6"/>
  <c r="CO15" i="6"/>
  <c r="AS7" i="6"/>
  <c r="AT7" i="6" s="1"/>
  <c r="BZ5" i="6" s="1"/>
  <c r="CH7" i="6" s="1"/>
  <c r="CR15" i="6" s="1"/>
  <c r="CM15" i="6"/>
  <c r="AS4" i="6"/>
  <c r="AT4" i="6" s="1"/>
  <c r="BY5" i="6" s="1"/>
  <c r="CM14" i="6"/>
  <c r="AW17" i="6"/>
  <c r="AX17" i="6"/>
  <c r="AY17" i="6" s="1"/>
  <c r="CC11" i="6" s="1"/>
  <c r="AW18" i="6"/>
  <c r="AX18" i="6"/>
  <c r="AY18" i="6" s="1"/>
  <c r="CC16" i="6" s="1"/>
  <c r="AW7" i="6"/>
  <c r="AX7" i="6"/>
  <c r="AY7" i="6" s="1"/>
  <c r="BZ6" i="6" s="1"/>
  <c r="CI7" i="6" s="1"/>
  <c r="CS15" i="6" s="1"/>
  <c r="AX4" i="6"/>
  <c r="AY4" i="6" s="1"/>
  <c r="BY6" i="6" s="1"/>
  <c r="CI4" i="6" s="1"/>
  <c r="CS14" i="6" s="1"/>
  <c r="AW15" i="6"/>
  <c r="AX15" i="6"/>
  <c r="AY15" i="6" s="1"/>
  <c r="CB16" i="6" s="1"/>
  <c r="AX13" i="6"/>
  <c r="AY13" i="6" s="1"/>
  <c r="CB6" i="6" s="1"/>
  <c r="AW16" i="6"/>
  <c r="AX16" i="6"/>
  <c r="AY16" i="6" s="1"/>
  <c r="CC6" i="6" s="1"/>
  <c r="BC17" i="6"/>
  <c r="BC15" i="6"/>
  <c r="CB17" i="6" s="1"/>
  <c r="BC10" i="6"/>
  <c r="CA7" i="6" s="1"/>
  <c r="CJ10" i="6" s="1"/>
  <c r="CT16" i="6" s="1"/>
  <c r="BC16" i="6"/>
  <c r="CC7" i="6" s="1"/>
  <c r="BC7" i="6"/>
  <c r="BZ7" i="6" s="1"/>
  <c r="CJ7" i="6" s="1"/>
  <c r="CT15" i="6" s="1"/>
  <c r="BB12" i="6"/>
  <c r="BB9" i="6"/>
  <c r="BB19" i="6"/>
  <c r="BB6" i="6"/>
  <c r="BB5" i="6"/>
  <c r="BB20" i="6"/>
  <c r="BB11" i="6"/>
  <c r="AS10" i="6"/>
  <c r="AT10" i="6" s="1"/>
  <c r="CA5" i="6" s="1"/>
  <c r="CH10" i="6" s="1"/>
  <c r="CR16" i="6" s="1"/>
  <c r="G21" i="7"/>
  <c r="AZ4" i="6"/>
  <c r="AZ18" i="6"/>
  <c r="BC18" i="6" s="1"/>
  <c r="CC17" i="6" s="1"/>
  <c r="CH4" i="6" l="1"/>
  <c r="CR14" i="6" s="1"/>
  <c r="CW14" i="6" s="1"/>
  <c r="CX14" i="6" s="1"/>
  <c r="BB17" i="6"/>
  <c r="CC12" i="6"/>
  <c r="BB13" i="6"/>
  <c r="CX19" i="6"/>
  <c r="CY19" i="6" s="1"/>
  <c r="CO18" i="6"/>
  <c r="CI16" i="6"/>
  <c r="CS18" i="6" s="1"/>
  <c r="CJ16" i="6"/>
  <c r="CT18" i="6" s="1"/>
  <c r="CP18" i="6"/>
  <c r="CW18" i="6"/>
  <c r="CI13" i="6"/>
  <c r="CS17" i="6" s="1"/>
  <c r="CJ13" i="6"/>
  <c r="CT17" i="6" s="1"/>
  <c r="CW17" i="6"/>
  <c r="CW16" i="6"/>
  <c r="CX16" i="6" s="1"/>
  <c r="CY16" i="6" s="1"/>
  <c r="CW15" i="6"/>
  <c r="CX15" i="6" s="1"/>
  <c r="CY15" i="6" s="1"/>
  <c r="BC4" i="6"/>
  <c r="CP14" i="6"/>
  <c r="CO14" i="6"/>
  <c r="G19" i="7"/>
  <c r="H6" i="7" s="1"/>
  <c r="N60" i="7"/>
  <c r="R11" i="7" s="1"/>
  <c r="J24" i="7"/>
  <c r="BB15" i="6"/>
  <c r="BB18" i="6"/>
  <c r="BB7" i="6"/>
  <c r="BB16" i="6"/>
  <c r="BB10" i="6"/>
  <c r="CP9" i="6"/>
  <c r="H11" i="7"/>
  <c r="CP7" i="6"/>
  <c r="H9" i="7"/>
  <c r="G20" i="7"/>
  <c r="G23" i="7"/>
  <c r="M61" i="7" l="1"/>
  <c r="CX18" i="6"/>
  <c r="CY18" i="6" s="1"/>
  <c r="CX17" i="6"/>
  <c r="CY17" i="6" s="1"/>
  <c r="E63" i="7" s="1"/>
  <c r="BB4" i="6"/>
  <c r="BY7" i="6"/>
  <c r="CJ4" i="6" s="1"/>
  <c r="CT14" i="6" s="1"/>
  <c r="CY14" i="6" s="1"/>
  <c r="I48" i="7"/>
  <c r="M48" i="7"/>
  <c r="E48" i="7"/>
  <c r="J22" i="7"/>
  <c r="F60" i="7"/>
  <c r="R9" i="7" s="1"/>
  <c r="M50" i="7"/>
  <c r="N49" i="7"/>
  <c r="N50" i="7"/>
  <c r="F63" i="7"/>
  <c r="F62" i="7"/>
  <c r="I50" i="7"/>
  <c r="J50" i="7"/>
  <c r="J49" i="7"/>
  <c r="M63" i="7"/>
  <c r="N63" i="7"/>
  <c r="N62" i="7"/>
  <c r="N61" i="7"/>
  <c r="I24" i="7"/>
  <c r="M60" i="7"/>
  <c r="J19" i="7"/>
  <c r="CP4" i="6"/>
  <c r="CP5" i="6"/>
  <c r="H7" i="7"/>
  <c r="CP6" i="6"/>
  <c r="H8" i="7"/>
  <c r="CP8" i="6"/>
  <c r="H10" i="7"/>
  <c r="L60" i="7" l="1"/>
  <c r="P11" i="7" s="1"/>
  <c r="Q11" i="7"/>
  <c r="I61" i="7"/>
  <c r="E61" i="7"/>
  <c r="F48" i="7"/>
  <c r="F61" i="7"/>
  <c r="E60" i="7"/>
  <c r="Q9" i="7" s="1"/>
  <c r="I22" i="7"/>
  <c r="I63" i="7"/>
  <c r="J63" i="7"/>
  <c r="J62" i="7"/>
  <c r="I19" i="7"/>
  <c r="CR4" i="6" s="1"/>
  <c r="E47" i="7"/>
  <c r="J21" i="7"/>
  <c r="N47" i="7"/>
  <c r="R8" i="7" s="1"/>
  <c r="J23" i="7"/>
  <c r="J60" i="7"/>
  <c r="R10" i="7" s="1"/>
  <c r="J20" i="7"/>
  <c r="CR9" i="6"/>
  <c r="CS4" i="6"/>
  <c r="CW29" i="6"/>
  <c r="CZ29" i="6"/>
  <c r="CX29" i="6"/>
  <c r="CX24" i="6"/>
  <c r="CZ24" i="6"/>
  <c r="CW24" i="6"/>
  <c r="D26" i="4"/>
  <c r="D31" i="4"/>
  <c r="O9" i="7"/>
  <c r="G29" i="4" s="1"/>
  <c r="O11" i="7"/>
  <c r="G31" i="4" s="1"/>
  <c r="D47" i="7" l="1"/>
  <c r="P6" i="7" s="1"/>
  <c r="Q6" i="7"/>
  <c r="Q54" i="4"/>
  <c r="Q21" i="4"/>
  <c r="Q43" i="4"/>
  <c r="Q32" i="4"/>
  <c r="Q10" i="4"/>
  <c r="Q5" i="4"/>
  <c r="Q27" i="4"/>
  <c r="Q38" i="4"/>
  <c r="Q16" i="4"/>
  <c r="Q49" i="4"/>
  <c r="F49" i="7"/>
  <c r="F50" i="7"/>
  <c r="J61" i="7"/>
  <c r="I60" i="7"/>
  <c r="Q10" i="7" s="1"/>
  <c r="I23" i="7"/>
  <c r="N48" i="7"/>
  <c r="I21" i="7"/>
  <c r="M47" i="7"/>
  <c r="Q8" i="7" s="1"/>
  <c r="J48" i="7"/>
  <c r="I47" i="7"/>
  <c r="Q7" i="7" s="1"/>
  <c r="I20" i="7"/>
  <c r="L61" i="7"/>
  <c r="L62" i="7" s="1"/>
  <c r="L63" i="7" s="1"/>
  <c r="L64" i="7" s="1"/>
  <c r="L65" i="7" s="1"/>
  <c r="L66" i="7" s="1"/>
  <c r="L67" i="7" s="1"/>
  <c r="L68" i="7" s="1"/>
  <c r="Q65" i="4"/>
  <c r="Q76" i="4"/>
  <c r="Q87" i="4"/>
  <c r="D60" i="7"/>
  <c r="P9" i="7" s="1"/>
  <c r="CR7" i="6"/>
  <c r="Q60" i="4"/>
  <c r="Q71" i="4"/>
  <c r="Q82" i="4"/>
  <c r="Q98" i="4"/>
  <c r="Q120" i="4"/>
  <c r="Q109" i="4"/>
  <c r="Q104" i="4"/>
  <c r="Q93" i="4"/>
  <c r="Q115" i="4"/>
  <c r="Q153" i="4"/>
  <c r="Q208" i="4"/>
  <c r="Q131" i="4"/>
  <c r="Q164" i="4"/>
  <c r="Q186" i="4"/>
  <c r="Q219" i="4"/>
  <c r="Q197" i="4"/>
  <c r="Q175" i="4"/>
  <c r="Q142" i="4"/>
  <c r="Q159" i="4"/>
  <c r="Q148" i="4"/>
  <c r="Q137" i="4"/>
  <c r="Q126" i="4"/>
  <c r="Q214" i="4"/>
  <c r="Q203" i="4"/>
  <c r="Q192" i="4"/>
  <c r="Q181" i="4"/>
  <c r="Q170" i="4"/>
  <c r="CX27" i="6"/>
  <c r="CW27" i="6"/>
  <c r="CZ27" i="6"/>
  <c r="D29" i="4"/>
  <c r="S227" i="4"/>
  <c r="I11" i="7"/>
  <c r="J11" i="7" s="1"/>
  <c r="D21" i="3"/>
  <c r="D19" i="3"/>
  <c r="O7" i="7"/>
  <c r="G27" i="4" s="1"/>
  <c r="O8" i="7"/>
  <c r="D48" i="7" l="1"/>
  <c r="D49" i="7" s="1"/>
  <c r="Q30" i="4"/>
  <c r="Q52" i="4"/>
  <c r="Q41" i="4"/>
  <c r="Q19" i="4"/>
  <c r="Q8" i="4"/>
  <c r="E50" i="7"/>
  <c r="L5" i="3"/>
  <c r="O5" i="3" s="1"/>
  <c r="CY29" i="6"/>
  <c r="Q74" i="4"/>
  <c r="Q85" i="4"/>
  <c r="Q63" i="4"/>
  <c r="CR6" i="6"/>
  <c r="CR5" i="6"/>
  <c r="Q118" i="4"/>
  <c r="Q107" i="4"/>
  <c r="Q96" i="4"/>
  <c r="H60" i="7"/>
  <c r="P10" i="7" s="1"/>
  <c r="CX25" i="6"/>
  <c r="CZ25" i="6"/>
  <c r="CW25" i="6"/>
  <c r="H47" i="7"/>
  <c r="P7" i="7" s="1"/>
  <c r="D27" i="4"/>
  <c r="Q184" i="4"/>
  <c r="Q173" i="4"/>
  <c r="Q206" i="4"/>
  <c r="Q195" i="4"/>
  <c r="Q162" i="4"/>
  <c r="Q151" i="4"/>
  <c r="Q140" i="4"/>
  <c r="Q129" i="4"/>
  <c r="Q217" i="4"/>
  <c r="CZ28" i="6"/>
  <c r="D30" i="4"/>
  <c r="CW28" i="6"/>
  <c r="I9" i="7"/>
  <c r="J9" i="7" s="1"/>
  <c r="CW26" i="6"/>
  <c r="D28" i="4"/>
  <c r="CR8" i="6"/>
  <c r="L47" i="7"/>
  <c r="P8" i="7" s="1"/>
  <c r="CX26" i="6"/>
  <c r="CZ26" i="6"/>
  <c r="CS5" i="6"/>
  <c r="D61" i="7"/>
  <c r="D62" i="7" s="1"/>
  <c r="D63" i="7" s="1"/>
  <c r="D64" i="7" s="1"/>
  <c r="D65" i="7" s="1"/>
  <c r="D66" i="7" s="1"/>
  <c r="D67" i="7" s="1"/>
  <c r="D68" i="7" s="1"/>
  <c r="CX28" i="6"/>
  <c r="G19" i="3"/>
  <c r="CS7" i="6"/>
  <c r="S231" i="4"/>
  <c r="P242" i="4" s="1"/>
  <c r="S229" i="4"/>
  <c r="T240" i="4" s="1"/>
  <c r="G21" i="3"/>
  <c r="CS9" i="6"/>
  <c r="S230" i="4"/>
  <c r="P241" i="4" s="1"/>
  <c r="D18" i="3"/>
  <c r="G28" i="4"/>
  <c r="T238" i="4"/>
  <c r="P238" i="4"/>
  <c r="F19" i="3"/>
  <c r="E31" i="4"/>
  <c r="E29" i="4"/>
  <c r="F21" i="3"/>
  <c r="D17" i="3"/>
  <c r="G17" i="3"/>
  <c r="D50" i="7" l="1"/>
  <c r="D51" i="7" s="1"/>
  <c r="D52" i="7" s="1"/>
  <c r="D53" i="7" s="1"/>
  <c r="D54" i="7" s="1"/>
  <c r="D55" i="7" s="1"/>
  <c r="Q20" i="4"/>
  <c r="Q31" i="4"/>
  <c r="Q42" i="4"/>
  <c r="Q53" i="4"/>
  <c r="Q9" i="4"/>
  <c r="Q40" i="4"/>
  <c r="Q7" i="4"/>
  <c r="Q51" i="4"/>
  <c r="Q29" i="4"/>
  <c r="Q18" i="4"/>
  <c r="Q6" i="4"/>
  <c r="Q17" i="4"/>
  <c r="Q50" i="4"/>
  <c r="Q39" i="4"/>
  <c r="Q28" i="4"/>
  <c r="H48" i="7"/>
  <c r="H49" i="7" s="1"/>
  <c r="H50" i="7" s="1"/>
  <c r="H51" i="7" s="1"/>
  <c r="H52" i="7" s="1"/>
  <c r="H53" i="7" s="1"/>
  <c r="H54" i="7" s="1"/>
  <c r="H55" i="7" s="1"/>
  <c r="H61" i="7"/>
  <c r="H62" i="7" s="1"/>
  <c r="H63" i="7" s="1"/>
  <c r="H64" i="7" s="1"/>
  <c r="H65" i="7" s="1"/>
  <c r="H66" i="7" s="1"/>
  <c r="H67" i="7" s="1"/>
  <c r="H68" i="7" s="1"/>
  <c r="CY27" i="6"/>
  <c r="S228" i="4"/>
  <c r="P239" i="4" s="1"/>
  <c r="Q86" i="4"/>
  <c r="Q64" i="4"/>
  <c r="Q75" i="4"/>
  <c r="Q62" i="4"/>
  <c r="Q73" i="4"/>
  <c r="Q84" i="4"/>
  <c r="Q83" i="4"/>
  <c r="Q61" i="4"/>
  <c r="Q72" i="4"/>
  <c r="Q108" i="4"/>
  <c r="Q97" i="4"/>
  <c r="Q119" i="4"/>
  <c r="Q117" i="4"/>
  <c r="Q95" i="4"/>
  <c r="Q106" i="4"/>
  <c r="Q105" i="4"/>
  <c r="Q94" i="4"/>
  <c r="Q116" i="4"/>
  <c r="E27" i="4"/>
  <c r="Q215" i="4"/>
  <c r="I7" i="7"/>
  <c r="J7" i="7" s="1"/>
  <c r="Q193" i="4"/>
  <c r="Q149" i="4"/>
  <c r="Q182" i="4"/>
  <c r="Q127" i="4"/>
  <c r="Q138" i="4"/>
  <c r="Q160" i="4"/>
  <c r="Q204" i="4"/>
  <c r="Q171" i="4"/>
  <c r="T242" i="4"/>
  <c r="G18" i="3"/>
  <c r="Q163" i="4"/>
  <c r="Q152" i="4"/>
  <c r="Q141" i="4"/>
  <c r="Q130" i="4"/>
  <c r="Q218" i="4"/>
  <c r="Q207" i="4"/>
  <c r="Q196" i="4"/>
  <c r="Q185" i="4"/>
  <c r="Q174" i="4"/>
  <c r="Q161" i="4"/>
  <c r="Q150" i="4"/>
  <c r="Q139" i="4"/>
  <c r="Q128" i="4"/>
  <c r="Q216" i="4"/>
  <c r="Q205" i="4"/>
  <c r="Q194" i="4"/>
  <c r="Q183" i="4"/>
  <c r="Q172" i="4"/>
  <c r="I8" i="7"/>
  <c r="J8" i="7" s="1"/>
  <c r="P240" i="4"/>
  <c r="CS6" i="6"/>
  <c r="CS8" i="6"/>
  <c r="T241" i="4"/>
  <c r="E28" i="4"/>
  <c r="F18" i="3"/>
  <c r="T239" i="4" l="1"/>
  <c r="CY28" i="6"/>
  <c r="CY25" i="6"/>
  <c r="CY26" i="6"/>
  <c r="F17" i="3"/>
  <c r="L48" i="7"/>
  <c r="L49" i="7" s="1"/>
  <c r="L50" i="7" s="1"/>
  <c r="L51" i="7" s="1"/>
  <c r="L52" i="7" s="1"/>
  <c r="L53" i="7" s="1"/>
  <c r="L54" i="7" s="1"/>
  <c r="L55" i="7" s="1"/>
  <c r="O10" i="7"/>
  <c r="G30" i="4" s="1"/>
  <c r="I10" i="7"/>
  <c r="J10" i="7" l="1"/>
  <c r="D20" i="3"/>
  <c r="G20" i="3"/>
  <c r="E30" i="4" l="1"/>
  <c r="F20" i="3"/>
  <c r="S226" i="4" l="1"/>
  <c r="I6" i="7"/>
  <c r="O6" i="7"/>
  <c r="G26" i="4" s="1"/>
  <c r="CY24" i="6" l="1"/>
  <c r="T237" i="4"/>
  <c r="P237" i="4"/>
  <c r="G16" i="3"/>
  <c r="J6" i="7"/>
  <c r="D16" i="3"/>
  <c r="E26" i="4" l="1"/>
  <c r="F16" i="3"/>
  <c r="Q226" i="4" l="1"/>
  <c r="U6" i="7"/>
  <c r="V6" i="7" s="1"/>
  <c r="T226" i="4" l="1"/>
  <c r="U19" i="7"/>
  <c r="V19" i="7" s="1"/>
  <c r="Q227" i="4"/>
  <c r="U7" i="7"/>
  <c r="V7" i="7" s="1"/>
  <c r="T227" i="4" l="1"/>
  <c r="U20" i="7"/>
  <c r="V20" i="7" s="1"/>
  <c r="Q228" i="4"/>
  <c r="U8" i="7"/>
  <c r="V8" i="7" s="1"/>
  <c r="T228" i="4" l="1"/>
  <c r="U21" i="7"/>
  <c r="V21" i="7" s="1"/>
  <c r="Q229" i="4"/>
  <c r="U9" i="7"/>
  <c r="V9" i="7" s="1"/>
  <c r="T229" i="4" l="1"/>
  <c r="U22" i="7"/>
  <c r="V22" i="7" s="1"/>
  <c r="Q230" i="4"/>
  <c r="U10" i="7"/>
  <c r="V10" i="7" s="1"/>
  <c r="T230" i="4" l="1"/>
  <c r="U23" i="7"/>
  <c r="V23" i="7" s="1"/>
  <c r="Q231" i="4"/>
  <c r="U11" i="7"/>
  <c r="V11" i="7" s="1"/>
  <c r="E18" i="3"/>
  <c r="H29" i="4"/>
  <c r="H26" i="4"/>
  <c r="T231" i="4" l="1"/>
  <c r="U24" i="7"/>
  <c r="V24" i="7" s="1"/>
  <c r="H28" i="4"/>
  <c r="E16" i="3"/>
  <c r="E21" i="3"/>
  <c r="H31" i="4"/>
  <c r="E20" i="3"/>
  <c r="H30" i="4"/>
  <c r="H27" i="4"/>
  <c r="E17" i="3"/>
  <c r="E19" i="3"/>
  <c r="K9" i="3" l="1"/>
  <c r="L9" i="3"/>
  <c r="N9" i="3" s="1"/>
  <c r="K6" i="3"/>
  <c r="L6" i="3"/>
  <c r="N6" i="3" s="1"/>
  <c r="M6" i="3" l="1"/>
  <c r="O6" i="3"/>
  <c r="M9" i="3"/>
  <c r="O9" i="3"/>
  <c r="K8" i="3"/>
  <c r="L8" i="3"/>
  <c r="N8" i="3" s="1"/>
  <c r="L10" i="3"/>
  <c r="N10" i="3" s="1"/>
  <c r="K10" i="3"/>
  <c r="L7" i="3"/>
  <c r="N7" i="3" s="1"/>
  <c r="K7" i="3"/>
  <c r="F9" i="3"/>
  <c r="F6" i="3"/>
  <c r="M8" i="3" l="1"/>
  <c r="O8" i="3"/>
  <c r="M7" i="3"/>
  <c r="O7" i="3"/>
  <c r="M10" i="3"/>
  <c r="O10" i="3"/>
  <c r="F8" i="3"/>
  <c r="F7" i="3"/>
  <c r="F10" i="3"/>
  <c r="F5" i="3" l="1"/>
  <c r="F12" i="3" s="1"/>
  <c r="G5" i="3" s="1"/>
  <c r="I5" i="3" s="1"/>
  <c r="J5" i="3" l="1"/>
  <c r="G9" i="3"/>
  <c r="G6" i="3"/>
  <c r="I6" i="3" s="1"/>
  <c r="N5" i="3"/>
  <c r="G7" i="3"/>
  <c r="G8" i="3"/>
  <c r="G10" i="3"/>
  <c r="I7" i="3" l="1"/>
  <c r="P5" i="3"/>
  <c r="H5" i="3"/>
  <c r="M5" i="3"/>
  <c r="J6" i="3" l="1"/>
  <c r="R5" i="3"/>
  <c r="W5" i="3" s="1"/>
  <c r="I8" i="3"/>
  <c r="I9" i="3" l="1"/>
  <c r="AE5" i="3"/>
  <c r="AF5" i="3"/>
  <c r="AH5" i="3" s="1"/>
  <c r="H6" i="3"/>
  <c r="P6" i="3"/>
  <c r="AI5" i="3" l="1"/>
  <c r="AG5" i="3"/>
  <c r="J7" i="3"/>
  <c r="R6" i="3"/>
  <c r="W6" i="3" s="1"/>
  <c r="I10" i="3"/>
  <c r="AE6" i="3" l="1"/>
  <c r="AF6" i="3"/>
  <c r="AH6" i="3" s="1"/>
  <c r="H7" i="3"/>
  <c r="P7" i="3"/>
  <c r="AI6" i="3" l="1"/>
  <c r="AG6" i="3"/>
  <c r="J8" i="3"/>
  <c r="R7" i="3"/>
  <c r="W7" i="3" s="1"/>
  <c r="AE7" i="3" l="1"/>
  <c r="AF7" i="3"/>
  <c r="AH7" i="3" s="1"/>
  <c r="H8" i="3"/>
  <c r="P8" i="3"/>
  <c r="J9" i="3" l="1"/>
  <c r="R8" i="3"/>
  <c r="W8" i="3" s="1"/>
  <c r="AG7" i="3"/>
  <c r="AI7" i="3"/>
  <c r="AE8" i="3" l="1"/>
  <c r="AF8" i="3"/>
  <c r="AH8" i="3" s="1"/>
  <c r="H9" i="3"/>
  <c r="P9" i="3"/>
  <c r="J10" i="3" l="1"/>
  <c r="R9" i="3"/>
  <c r="W9" i="3" s="1"/>
  <c r="AI8" i="3"/>
  <c r="AG8" i="3"/>
  <c r="AF9" i="3" l="1"/>
  <c r="AH9" i="3" s="1"/>
  <c r="AE9" i="3"/>
  <c r="P10" i="3"/>
  <c r="R10" i="3" s="1"/>
  <c r="H10" i="3"/>
  <c r="W10" i="3" l="1"/>
  <c r="S10" i="3"/>
  <c r="AG9" i="3"/>
  <c r="AI9" i="3"/>
  <c r="X10" i="3" l="1"/>
  <c r="Z10" i="3" s="1"/>
  <c r="S9" i="3"/>
  <c r="AE10" i="3"/>
  <c r="AF10" i="3"/>
  <c r="AH10" i="3" s="1"/>
  <c r="AG10" i="3" l="1"/>
  <c r="AI10" i="3"/>
  <c r="X9" i="3"/>
  <c r="S8" i="3"/>
  <c r="S7" i="3" l="1"/>
  <c r="X8" i="3"/>
  <c r="Z9" i="3"/>
  <c r="Z8" i="3" l="1"/>
  <c r="S6" i="3"/>
  <c r="X7" i="3"/>
  <c r="X6" i="3" l="1"/>
  <c r="S5" i="3"/>
  <c r="X5" i="3" s="1"/>
  <c r="Z7" i="3"/>
  <c r="Z5" i="3" l="1"/>
  <c r="Z6" i="3"/>
  <c r="Z12" i="3" l="1"/>
  <c r="AA10" i="3" l="1"/>
  <c r="AA9" i="3"/>
  <c r="AA8" i="3"/>
  <c r="AA7" i="3"/>
  <c r="AA6" i="3"/>
  <c r="AA5" i="3"/>
  <c r="AC5" i="3" s="1"/>
  <c r="AK5" i="3" l="1"/>
  <c r="AD5" i="3"/>
  <c r="AC6" i="3"/>
  <c r="AK6" i="3" l="1"/>
  <c r="AC7" i="3"/>
  <c r="R18" i="3"/>
  <c r="W18" i="3" s="1"/>
  <c r="AB5" i="3"/>
  <c r="AJ5" i="3"/>
  <c r="AD6" i="3" s="1"/>
  <c r="R19" i="3" l="1"/>
  <c r="W19" i="3" s="1"/>
  <c r="AJ6" i="3"/>
  <c r="AB6" i="3"/>
  <c r="AE18" i="3"/>
  <c r="AF18" i="3"/>
  <c r="AH18" i="3" s="1"/>
  <c r="AK7" i="3"/>
  <c r="AD7" i="3"/>
  <c r="AC8" i="3"/>
  <c r="AB7" i="3" l="1"/>
  <c r="AJ7" i="3"/>
  <c r="AD8" i="3" s="1"/>
  <c r="AG18" i="3"/>
  <c r="AI18" i="3"/>
  <c r="AK8" i="3"/>
  <c r="AC9" i="3"/>
  <c r="AE19" i="3"/>
  <c r="AF19" i="3"/>
  <c r="AH19" i="3" s="1"/>
  <c r="AB8" i="3" l="1"/>
  <c r="AJ8" i="3"/>
  <c r="AG19" i="3"/>
  <c r="AI19" i="3"/>
  <c r="AK9" i="3"/>
  <c r="AC10" i="3"/>
  <c r="AD9" i="3"/>
  <c r="R20" i="3"/>
  <c r="W20" i="3" s="1"/>
  <c r="AJ9" i="3" l="1"/>
  <c r="R22" i="3"/>
  <c r="W22" i="3" s="1"/>
  <c r="AB9" i="3"/>
  <c r="AF20" i="3"/>
  <c r="AH20" i="3" s="1"/>
  <c r="AE20" i="3"/>
  <c r="AK10" i="3"/>
  <c r="AD10" i="3"/>
  <c r="R21" i="3"/>
  <c r="W21" i="3" s="1"/>
  <c r="AE21" i="3" l="1"/>
  <c r="AF21" i="3"/>
  <c r="AH21" i="3" s="1"/>
  <c r="R23" i="3"/>
  <c r="AJ10" i="3"/>
  <c r="AB10" i="3"/>
  <c r="AG20" i="3"/>
  <c r="AI20" i="3"/>
  <c r="AE22" i="3"/>
  <c r="AF22" i="3"/>
  <c r="AH22" i="3" s="1"/>
  <c r="S23" i="3" l="1"/>
  <c r="W23" i="3"/>
  <c r="AG22" i="3"/>
  <c r="AI22" i="3"/>
  <c r="AG21" i="3"/>
  <c r="AI21" i="3"/>
  <c r="X23" i="3" l="1"/>
  <c r="S22" i="3"/>
  <c r="AF23" i="3"/>
  <c r="AH23" i="3" s="1"/>
  <c r="AE23" i="3"/>
  <c r="AI23" i="3" l="1"/>
  <c r="AG23" i="3"/>
  <c r="X22" i="3"/>
  <c r="S21" i="3"/>
  <c r="Z23" i="3"/>
  <c r="X21" i="3" l="1"/>
  <c r="S20" i="3"/>
  <c r="Z22" i="3"/>
  <c r="X20" i="3" l="1"/>
  <c r="S19" i="3"/>
  <c r="Z21" i="3"/>
  <c r="X19" i="3" l="1"/>
  <c r="S18" i="3"/>
  <c r="X18" i="3" s="1"/>
  <c r="Z20" i="3"/>
  <c r="Z18" i="3" l="1"/>
  <c r="Z19" i="3"/>
  <c r="Z25" i="3" l="1"/>
  <c r="AA23" i="3" l="1"/>
  <c r="AA22" i="3"/>
  <c r="AA21" i="3"/>
  <c r="AA20" i="3"/>
  <c r="AA19" i="3"/>
  <c r="AA18" i="3"/>
  <c r="AC18" i="3" s="1"/>
  <c r="AK18" i="3" l="1"/>
  <c r="AC19" i="3"/>
  <c r="AD18" i="3"/>
  <c r="R31" i="3" l="1"/>
  <c r="W31" i="3" s="1"/>
  <c r="AJ18" i="3"/>
  <c r="AD19" i="3" s="1"/>
  <c r="AB18" i="3"/>
  <c r="AC20" i="3"/>
  <c r="AK19" i="3"/>
  <c r="AC21" i="3" l="1"/>
  <c r="AK20" i="3"/>
  <c r="R32" i="3"/>
  <c r="W32" i="3" s="1"/>
  <c r="AB19" i="3"/>
  <c r="AJ19" i="3"/>
  <c r="AD20" i="3" s="1"/>
  <c r="AE31" i="3"/>
  <c r="AF31" i="3"/>
  <c r="AH31" i="3" s="1"/>
  <c r="AF32" i="3" l="1"/>
  <c r="AH32" i="3" s="1"/>
  <c r="AE32" i="3"/>
  <c r="AG31" i="3"/>
  <c r="AI31" i="3"/>
  <c r="R33" i="3"/>
  <c r="W33" i="3" s="1"/>
  <c r="AJ20" i="3"/>
  <c r="AD21" i="3" s="1"/>
  <c r="AB20" i="3"/>
  <c r="AK21" i="3"/>
  <c r="AC22" i="3"/>
  <c r="AJ21" i="3" l="1"/>
  <c r="R34" i="3"/>
  <c r="W34" i="3" s="1"/>
  <c r="AB21" i="3"/>
  <c r="AE33" i="3"/>
  <c r="AF33" i="3"/>
  <c r="AH33" i="3" s="1"/>
  <c r="AK22" i="3"/>
  <c r="AD22" i="3"/>
  <c r="AC23" i="3"/>
  <c r="AG32" i="3"/>
  <c r="AI32" i="3"/>
  <c r="AF34" i="3" l="1"/>
  <c r="AH34" i="3" s="1"/>
  <c r="AE34" i="3"/>
  <c r="AK23" i="3"/>
  <c r="R35" i="3"/>
  <c r="W35" i="3" s="1"/>
  <c r="AB22" i="3"/>
  <c r="AJ22" i="3"/>
  <c r="AD23" i="3" s="1"/>
  <c r="AG33" i="3"/>
  <c r="AI33" i="3"/>
  <c r="AE35" i="3" l="1"/>
  <c r="AF35" i="3"/>
  <c r="AH35" i="3" s="1"/>
  <c r="AG34" i="3"/>
  <c r="AI34" i="3"/>
  <c r="R36" i="3"/>
  <c r="AB23" i="3"/>
  <c r="AJ23" i="3"/>
  <c r="S36" i="3" l="1"/>
  <c r="W36" i="3"/>
  <c r="AG35" i="3"/>
  <c r="AI35" i="3"/>
  <c r="AE36" i="3" l="1"/>
  <c r="AF36" i="3"/>
  <c r="AH36" i="3" s="1"/>
  <c r="X36" i="3"/>
  <c r="S35" i="3"/>
  <c r="X35" i="3" l="1"/>
  <c r="S34" i="3"/>
  <c r="Z36" i="3"/>
  <c r="AI36" i="3"/>
  <c r="AG36" i="3"/>
  <c r="S33" i="3" l="1"/>
  <c r="X34" i="3"/>
  <c r="Z35" i="3"/>
  <c r="Z34" i="3" l="1"/>
  <c r="S32" i="3"/>
  <c r="X33" i="3"/>
  <c r="Z33" i="3" l="1"/>
  <c r="X32" i="3"/>
  <c r="S31" i="3"/>
  <c r="X31" i="3" s="1"/>
  <c r="Z31" i="3" l="1"/>
  <c r="Z32" i="3"/>
  <c r="Z38" i="3" l="1"/>
  <c r="AA36" i="3"/>
  <c r="AA35" i="3"/>
  <c r="AA34" i="3"/>
  <c r="AA33" i="3"/>
  <c r="AA32" i="3"/>
  <c r="AA31" i="3"/>
  <c r="AC31" i="3" s="1"/>
  <c r="AK31" i="3" l="1"/>
  <c r="AD31" i="3"/>
  <c r="AC32" i="3"/>
  <c r="AK32" i="3" l="1"/>
  <c r="AC33" i="3"/>
  <c r="R44" i="3"/>
  <c r="W44" i="3" s="1"/>
  <c r="AB31" i="3"/>
  <c r="AJ31" i="3"/>
  <c r="AD32" i="3" s="1"/>
  <c r="AB32" i="3" l="1"/>
  <c r="AJ32" i="3"/>
  <c r="AD33" i="3" s="1"/>
  <c r="AK33" i="3"/>
  <c r="AC34" i="3"/>
  <c r="AE44" i="3"/>
  <c r="AF44" i="3"/>
  <c r="AH44" i="3" s="1"/>
  <c r="R45" i="3" l="1"/>
  <c r="W45" i="3" s="1"/>
  <c r="AE45" i="3" s="1"/>
  <c r="AG44" i="3"/>
  <c r="AI44" i="3"/>
  <c r="AC35" i="3"/>
  <c r="AK34" i="3"/>
  <c r="AB33" i="3"/>
  <c r="AJ33" i="3"/>
  <c r="AD34" i="3" s="1"/>
  <c r="AF45" i="3" l="1"/>
  <c r="AH45" i="3" s="1"/>
  <c r="AG45" i="3"/>
  <c r="AJ34" i="3"/>
  <c r="R47" i="3"/>
  <c r="W47" i="3" s="1"/>
  <c r="AB34" i="3"/>
  <c r="R46" i="3"/>
  <c r="W46" i="3" s="1"/>
  <c r="AC36" i="3"/>
  <c r="AK35" i="3"/>
  <c r="AD35" i="3"/>
  <c r="AI45" i="3" l="1"/>
  <c r="AB35" i="3"/>
  <c r="AJ35" i="3"/>
  <c r="AE47" i="3"/>
  <c r="AF47" i="3"/>
  <c r="AH47" i="3" s="1"/>
  <c r="AK36" i="3"/>
  <c r="AD36" i="3"/>
  <c r="AE46" i="3"/>
  <c r="AF46" i="3"/>
  <c r="AH46" i="3" s="1"/>
  <c r="AG47" i="3" l="1"/>
  <c r="AI47" i="3"/>
  <c r="AG46" i="3"/>
  <c r="AI46" i="3"/>
  <c r="AB36" i="3"/>
  <c r="R49" i="3"/>
  <c r="AJ36" i="3"/>
  <c r="R48" i="3"/>
  <c r="W48" i="3" s="1"/>
  <c r="AF48" i="3" l="1"/>
  <c r="AH48" i="3" s="1"/>
  <c r="AE48" i="3"/>
  <c r="S49" i="3"/>
  <c r="W49" i="3"/>
  <c r="AI48" i="3" l="1"/>
  <c r="AG48" i="3"/>
  <c r="AE49" i="3"/>
  <c r="AF49" i="3"/>
  <c r="AH49" i="3" s="1"/>
  <c r="X49" i="3"/>
  <c r="S48" i="3"/>
  <c r="S47" i="3" l="1"/>
  <c r="X48" i="3"/>
  <c r="Z49" i="3"/>
  <c r="AG49" i="3"/>
  <c r="AI49" i="3"/>
  <c r="Z48" i="3" l="1"/>
  <c r="X47" i="3"/>
  <c r="S46" i="3"/>
  <c r="S45" i="3" l="1"/>
  <c r="X46" i="3"/>
  <c r="Z47" i="3"/>
  <c r="Z46" i="3" l="1"/>
  <c r="X45" i="3"/>
  <c r="S44" i="3"/>
  <c r="X44" i="3" s="1"/>
  <c r="Z44" i="3" l="1"/>
  <c r="Z45" i="3"/>
  <c r="Z51" i="3" l="1"/>
  <c r="AA49" i="3" l="1"/>
  <c r="AA48" i="3"/>
  <c r="AA47" i="3"/>
  <c r="AA46" i="3"/>
  <c r="AA44" i="3"/>
  <c r="AC44" i="3" s="1"/>
  <c r="AA45" i="3"/>
  <c r="AD44" i="3" l="1"/>
  <c r="AK44" i="3"/>
  <c r="AC45" i="3"/>
  <c r="AC46" i="3" l="1"/>
  <c r="AK45" i="3"/>
  <c r="R57" i="3"/>
  <c r="W57" i="3" s="1"/>
  <c r="AB44" i="3"/>
  <c r="AJ44" i="3"/>
  <c r="AD45" i="3" s="1"/>
  <c r="AF57" i="3" l="1"/>
  <c r="AH57" i="3" s="1"/>
  <c r="AE57" i="3"/>
  <c r="AB45" i="3"/>
  <c r="AJ45" i="3"/>
  <c r="AD46" i="3" s="1"/>
  <c r="AC47" i="3"/>
  <c r="AK46" i="3"/>
  <c r="AC48" i="3" l="1"/>
  <c r="AK47" i="3"/>
  <c r="R58" i="3"/>
  <c r="W58" i="3" s="1"/>
  <c r="AG57" i="3"/>
  <c r="C16" i="4"/>
  <c r="E16" i="4" s="1"/>
  <c r="AI57" i="3"/>
  <c r="AB46" i="3"/>
  <c r="AJ46" i="3"/>
  <c r="AD47" i="3" s="1"/>
  <c r="R60" i="3" l="1"/>
  <c r="W60" i="3" s="1"/>
  <c r="AJ47" i="3"/>
  <c r="AB47" i="3"/>
  <c r="R59" i="3"/>
  <c r="W59" i="3" s="1"/>
  <c r="AE58" i="3"/>
  <c r="AF58" i="3"/>
  <c r="AH58" i="3" s="1"/>
  <c r="AC49" i="3"/>
  <c r="AK48" i="3"/>
  <c r="AD48" i="3"/>
  <c r="AF59" i="3" l="1"/>
  <c r="AH59" i="3" s="1"/>
  <c r="AE59" i="3"/>
  <c r="AB48" i="3"/>
  <c r="AJ48" i="3"/>
  <c r="R61" i="3" s="1"/>
  <c r="W61" i="3" s="1"/>
  <c r="AK49" i="3"/>
  <c r="AI58" i="3"/>
  <c r="C17" i="4"/>
  <c r="E17" i="4" s="1"/>
  <c r="AG58" i="3"/>
  <c r="AF60" i="3"/>
  <c r="AH60" i="3" s="1"/>
  <c r="AE60" i="3"/>
  <c r="AD49" i="3" l="1"/>
  <c r="AF61" i="3"/>
  <c r="AH61" i="3" s="1"/>
  <c r="AE61" i="3"/>
  <c r="AB49" i="3"/>
  <c r="AJ49" i="3"/>
  <c r="R62" i="3" s="1"/>
  <c r="AG59" i="3"/>
  <c r="AI59" i="3"/>
  <c r="C18" i="4"/>
  <c r="E18" i="4" s="1"/>
  <c r="AG60" i="3"/>
  <c r="C19" i="4"/>
  <c r="E19" i="4" s="1"/>
  <c r="AI60" i="3"/>
  <c r="W62" i="3" l="1"/>
  <c r="S62" i="3"/>
  <c r="AG61" i="3"/>
  <c r="AI61" i="3"/>
  <c r="C20" i="4"/>
  <c r="E20" i="4" s="1"/>
  <c r="X62" i="3" l="1"/>
  <c r="S61" i="3"/>
  <c r="AE62" i="3"/>
  <c r="AF62" i="3"/>
  <c r="AH62" i="3" s="1"/>
  <c r="C21" i="4" l="1"/>
  <c r="E21" i="4" s="1"/>
  <c r="AI62" i="3"/>
  <c r="AG62" i="3"/>
  <c r="S60" i="3"/>
  <c r="X61" i="3"/>
  <c r="M32" i="4"/>
  <c r="M164" i="4"/>
  <c r="M43" i="4"/>
  <c r="M142" i="4"/>
  <c r="M153" i="4"/>
  <c r="M186" i="4"/>
  <c r="M208" i="4"/>
  <c r="M175" i="4"/>
  <c r="M21" i="4"/>
  <c r="M219" i="4"/>
  <c r="M76" i="4"/>
  <c r="M197" i="4"/>
  <c r="M87" i="4"/>
  <c r="M65" i="4"/>
  <c r="M131" i="4"/>
  <c r="M10" i="4"/>
  <c r="M98" i="4"/>
  <c r="M109" i="4"/>
  <c r="M120" i="4"/>
  <c r="Z62" i="3"/>
  <c r="M54" i="4"/>
  <c r="Z208" i="4" l="1"/>
  <c r="AA208" i="4" s="1"/>
  <c r="N208" i="4"/>
  <c r="O208" i="4" s="1"/>
  <c r="N76" i="4"/>
  <c r="O76" i="4" s="1"/>
  <c r="Z76" i="4"/>
  <c r="AA76" i="4" s="1"/>
  <c r="N109" i="4"/>
  <c r="O109" i="4" s="1"/>
  <c r="Z109" i="4"/>
  <c r="AA109" i="4" s="1"/>
  <c r="H142" i="4"/>
  <c r="Z153" i="4"/>
  <c r="AA153" i="4" s="1"/>
  <c r="N153" i="4"/>
  <c r="O153" i="4" s="1"/>
  <c r="N32" i="4"/>
  <c r="O32" i="4" s="1"/>
  <c r="E142" i="4"/>
  <c r="Z32" i="4"/>
  <c r="AA32" i="4" s="1"/>
  <c r="N120" i="4"/>
  <c r="O120" i="4" s="1"/>
  <c r="Z120" i="4"/>
  <c r="AA120" i="4" s="1"/>
  <c r="N186" i="4"/>
  <c r="O186" i="4" s="1"/>
  <c r="Z186" i="4"/>
  <c r="AA186" i="4" s="1"/>
  <c r="Z142" i="4"/>
  <c r="AA142" i="4" s="1"/>
  <c r="N142" i="4"/>
  <c r="O142" i="4" s="1"/>
  <c r="N43" i="4"/>
  <c r="O43" i="4" s="1"/>
  <c r="F142" i="4"/>
  <c r="Z43" i="4"/>
  <c r="AA43" i="4" s="1"/>
  <c r="N87" i="4"/>
  <c r="O87" i="4" s="1"/>
  <c r="Z87" i="4"/>
  <c r="M196" i="4"/>
  <c r="M218" i="4"/>
  <c r="M108" i="4"/>
  <c r="M174" i="4"/>
  <c r="M86" i="4"/>
  <c r="M53" i="4"/>
  <c r="M163" i="4"/>
  <c r="M185" i="4"/>
  <c r="M207" i="4"/>
  <c r="M75" i="4"/>
  <c r="Z61" i="3"/>
  <c r="M64" i="4"/>
  <c r="M42" i="4"/>
  <c r="M20" i="4"/>
  <c r="M152" i="4"/>
  <c r="M119" i="4"/>
  <c r="M141" i="4"/>
  <c r="M31" i="4"/>
  <c r="M130" i="4"/>
  <c r="M9" i="4"/>
  <c r="M97" i="4"/>
  <c r="X60" i="3"/>
  <c r="S59" i="3"/>
  <c r="N21" i="4"/>
  <c r="O21" i="4" s="1"/>
  <c r="D142" i="4"/>
  <c r="Z21" i="4"/>
  <c r="AA21" i="4" s="1"/>
  <c r="N98" i="4"/>
  <c r="O98" i="4" s="1"/>
  <c r="Z98" i="4"/>
  <c r="AA98" i="4" s="1"/>
  <c r="Z10" i="4"/>
  <c r="AA10" i="4" s="1"/>
  <c r="C142" i="4"/>
  <c r="N10" i="4"/>
  <c r="O10" i="4" s="1"/>
  <c r="N131" i="4"/>
  <c r="O131" i="4" s="1"/>
  <c r="Z131" i="4"/>
  <c r="AA131" i="4" s="1"/>
  <c r="N65" i="4"/>
  <c r="O65" i="4" s="1"/>
  <c r="Z65" i="4"/>
  <c r="AA65" i="4" s="1"/>
  <c r="Z164" i="4"/>
  <c r="AA164" i="4" s="1"/>
  <c r="N164" i="4"/>
  <c r="O164" i="4" s="1"/>
  <c r="N197" i="4"/>
  <c r="O197" i="4" s="1"/>
  <c r="Z197" i="4"/>
  <c r="AA197" i="4" s="1"/>
  <c r="N219" i="4"/>
  <c r="O219" i="4" s="1"/>
  <c r="Z219" i="4"/>
  <c r="AA219" i="4" s="1"/>
  <c r="N54" i="4"/>
  <c r="O54" i="4" s="1"/>
  <c r="Z54" i="4"/>
  <c r="AA54" i="4" s="1"/>
  <c r="G142" i="4"/>
  <c r="Z175" i="4"/>
  <c r="AA175" i="4" s="1"/>
  <c r="N175" i="4"/>
  <c r="O175" i="4" s="1"/>
  <c r="N42" i="4" l="1"/>
  <c r="O42" i="4" s="1"/>
  <c r="F141" i="4"/>
  <c r="Z42" i="4"/>
  <c r="AA42" i="4" s="1"/>
  <c r="AA87" i="4"/>
  <c r="N97" i="4"/>
  <c r="O97" i="4" s="1"/>
  <c r="Z97" i="4"/>
  <c r="AA97" i="4" s="1"/>
  <c r="Z207" i="4"/>
  <c r="AA207" i="4" s="1"/>
  <c r="N207" i="4"/>
  <c r="O207" i="4" s="1"/>
  <c r="R21" i="4"/>
  <c r="T21" i="4"/>
  <c r="S21" i="4"/>
  <c r="S175" i="4"/>
  <c r="R175" i="4"/>
  <c r="T175" i="4"/>
  <c r="T87" i="4"/>
  <c r="S87" i="4"/>
  <c r="R87" i="4"/>
  <c r="T142" i="4"/>
  <c r="R142" i="4"/>
  <c r="S142" i="4"/>
  <c r="N31" i="4"/>
  <c r="O31" i="4" s="1"/>
  <c r="Z31" i="4"/>
  <c r="AA31" i="4" s="1"/>
  <c r="E141" i="4"/>
  <c r="S58" i="3"/>
  <c r="X59" i="3"/>
  <c r="T65" i="4"/>
  <c r="S65" i="4"/>
  <c r="R65" i="4"/>
  <c r="S43" i="4"/>
  <c r="R43" i="4"/>
  <c r="T43" i="4"/>
  <c r="N163" i="4"/>
  <c r="O163" i="4" s="1"/>
  <c r="Z163" i="4"/>
  <c r="AA163" i="4" s="1"/>
  <c r="N53" i="4"/>
  <c r="O53" i="4" s="1"/>
  <c r="G141" i="4"/>
  <c r="Z53" i="4"/>
  <c r="AA53" i="4" s="1"/>
  <c r="N86" i="4"/>
  <c r="O86" i="4" s="1"/>
  <c r="Z86" i="4"/>
  <c r="AA86" i="4" s="1"/>
  <c r="N9" i="4"/>
  <c r="O9" i="4" s="1"/>
  <c r="C141" i="4"/>
  <c r="Z9" i="4"/>
  <c r="AA9" i="4" s="1"/>
  <c r="T54" i="4"/>
  <c r="S54" i="4"/>
  <c r="R54" i="4"/>
  <c r="Z130" i="4"/>
  <c r="AA130" i="4" s="1"/>
  <c r="N130" i="4"/>
  <c r="O130" i="4" s="1"/>
  <c r="S109" i="4"/>
  <c r="R109" i="4"/>
  <c r="T109" i="4"/>
  <c r="S219" i="4"/>
  <c r="T219" i="4"/>
  <c r="R219" i="4"/>
  <c r="N119" i="4"/>
  <c r="O119" i="4" s="1"/>
  <c r="Z119" i="4"/>
  <c r="AA119" i="4" s="1"/>
  <c r="Z174" i="4"/>
  <c r="AA174" i="4" s="1"/>
  <c r="N174" i="4"/>
  <c r="O174" i="4" s="1"/>
  <c r="T186" i="4"/>
  <c r="S186" i="4"/>
  <c r="R186" i="4"/>
  <c r="S76" i="4"/>
  <c r="T76" i="4"/>
  <c r="R76" i="4"/>
  <c r="N196" i="4"/>
  <c r="O196" i="4" s="1"/>
  <c r="Z196" i="4"/>
  <c r="AA196" i="4" s="1"/>
  <c r="T153" i="4"/>
  <c r="S153" i="4"/>
  <c r="R153" i="4"/>
  <c r="R10" i="4"/>
  <c r="T10" i="4"/>
  <c r="S10" i="4"/>
  <c r="N108" i="4"/>
  <c r="O108" i="4" s="1"/>
  <c r="H141" i="4"/>
  <c r="Z108" i="4"/>
  <c r="AA108" i="4" s="1"/>
  <c r="T208" i="4"/>
  <c r="S208" i="4"/>
  <c r="R208" i="4"/>
  <c r="N64" i="4"/>
  <c r="O64" i="4" s="1"/>
  <c r="Z64" i="4"/>
  <c r="AA64" i="4" s="1"/>
  <c r="M8" i="4"/>
  <c r="M184" i="4"/>
  <c r="M41" i="4"/>
  <c r="M140" i="4"/>
  <c r="M96" i="4"/>
  <c r="Z60" i="3"/>
  <c r="M19" i="4"/>
  <c r="M151" i="4"/>
  <c r="M206" i="4"/>
  <c r="M118" i="4"/>
  <c r="M173" i="4"/>
  <c r="M162" i="4"/>
  <c r="M217" i="4"/>
  <c r="M195" i="4"/>
  <c r="M107" i="4"/>
  <c r="M85" i="4"/>
  <c r="M52" i="4"/>
  <c r="M129" i="4"/>
  <c r="M63" i="4"/>
  <c r="M74" i="4"/>
  <c r="M30" i="4"/>
  <c r="T32" i="4"/>
  <c r="R32" i="4"/>
  <c r="S32" i="4"/>
  <c r="N75" i="4"/>
  <c r="O75" i="4" s="1"/>
  <c r="Z75" i="4"/>
  <c r="AA75" i="4" s="1"/>
  <c r="T131" i="4"/>
  <c r="R131" i="4"/>
  <c r="S131" i="4"/>
  <c r="Z185" i="4"/>
  <c r="AA185" i="4" s="1"/>
  <c r="N185" i="4"/>
  <c r="O185" i="4" s="1"/>
  <c r="N141" i="4"/>
  <c r="O141" i="4" s="1"/>
  <c r="Z141" i="4"/>
  <c r="AA141" i="4" s="1"/>
  <c r="R98" i="4"/>
  <c r="T98" i="4"/>
  <c r="S98" i="4"/>
  <c r="S197" i="4"/>
  <c r="R197" i="4"/>
  <c r="T197" i="4"/>
  <c r="N152" i="4"/>
  <c r="O152" i="4" s="1"/>
  <c r="Z152" i="4"/>
  <c r="AA152" i="4" s="1"/>
  <c r="S164" i="4"/>
  <c r="T164" i="4"/>
  <c r="R164" i="4"/>
  <c r="N20" i="4"/>
  <c r="O20" i="4" s="1"/>
  <c r="D141" i="4"/>
  <c r="Z20" i="4"/>
  <c r="AA20" i="4" s="1"/>
  <c r="N218" i="4"/>
  <c r="O218" i="4" s="1"/>
  <c r="Z218" i="4"/>
  <c r="AA218" i="4" s="1"/>
  <c r="S120" i="4"/>
  <c r="T120" i="4"/>
  <c r="R120" i="4"/>
  <c r="N85" i="4" l="1"/>
  <c r="O85" i="4" s="1"/>
  <c r="Z85" i="4"/>
  <c r="AA85" i="4" s="1"/>
  <c r="N140" i="4"/>
  <c r="O140" i="4" s="1"/>
  <c r="Z140" i="4"/>
  <c r="AA140" i="4" s="1"/>
  <c r="S130" i="4"/>
  <c r="R130" i="4"/>
  <c r="T130" i="4"/>
  <c r="S53" i="4"/>
  <c r="T53" i="4"/>
  <c r="R53" i="4"/>
  <c r="T75" i="4"/>
  <c r="S75" i="4"/>
  <c r="R75" i="4"/>
  <c r="N195" i="4"/>
  <c r="O195" i="4" s="1"/>
  <c r="Z195" i="4"/>
  <c r="AA195" i="4" s="1"/>
  <c r="N184" i="4"/>
  <c r="O184" i="4" s="1"/>
  <c r="Z184" i="4"/>
  <c r="AA184" i="4" s="1"/>
  <c r="T174" i="4"/>
  <c r="R174" i="4"/>
  <c r="S174" i="4"/>
  <c r="R163" i="4"/>
  <c r="S163" i="4"/>
  <c r="T163" i="4"/>
  <c r="R31" i="4"/>
  <c r="T31" i="4"/>
  <c r="S31" i="4"/>
  <c r="T218" i="4"/>
  <c r="R218" i="4"/>
  <c r="S218" i="4"/>
  <c r="Z217" i="4"/>
  <c r="AA217" i="4" s="1"/>
  <c r="N217" i="4"/>
  <c r="O217" i="4" s="1"/>
  <c r="N8" i="4"/>
  <c r="O8" i="4" s="1"/>
  <c r="Z8" i="4"/>
  <c r="AA8" i="4" s="1"/>
  <c r="C140" i="4"/>
  <c r="S207" i="4"/>
  <c r="R207" i="4"/>
  <c r="T207" i="4"/>
  <c r="S119" i="4"/>
  <c r="T119" i="4"/>
  <c r="R119" i="4"/>
  <c r="N41" i="4"/>
  <c r="O41" i="4" s="1"/>
  <c r="F140" i="4"/>
  <c r="Z41" i="4"/>
  <c r="AA41" i="4" s="1"/>
  <c r="Z173" i="4"/>
  <c r="AA173" i="4" s="1"/>
  <c r="N173" i="4"/>
  <c r="O173" i="4" s="1"/>
  <c r="T64" i="4"/>
  <c r="S64" i="4"/>
  <c r="R64" i="4"/>
  <c r="T20" i="4"/>
  <c r="S20" i="4"/>
  <c r="R20" i="4"/>
  <c r="N118" i="4"/>
  <c r="O118" i="4" s="1"/>
  <c r="Z118" i="4"/>
  <c r="AA118" i="4" s="1"/>
  <c r="S97" i="4"/>
  <c r="R97" i="4"/>
  <c r="T97" i="4"/>
  <c r="T9" i="4"/>
  <c r="R9" i="4"/>
  <c r="S9" i="4"/>
  <c r="N107" i="4"/>
  <c r="O107" i="4" s="1"/>
  <c r="H140" i="4"/>
  <c r="Z107" i="4"/>
  <c r="AA107" i="4" s="1"/>
  <c r="T185" i="4"/>
  <c r="S185" i="4"/>
  <c r="R185" i="4"/>
  <c r="N74" i="4"/>
  <c r="O74" i="4" s="1"/>
  <c r="Z74" i="4"/>
  <c r="AA74" i="4" s="1"/>
  <c r="N151" i="4"/>
  <c r="O151" i="4" s="1"/>
  <c r="Z151" i="4"/>
  <c r="AA151" i="4" s="1"/>
  <c r="S86" i="4"/>
  <c r="R86" i="4"/>
  <c r="T86" i="4"/>
  <c r="M29" i="4"/>
  <c r="M84" i="4"/>
  <c r="M172" i="4"/>
  <c r="M40" i="4"/>
  <c r="M7" i="4"/>
  <c r="M183" i="4"/>
  <c r="M205" i="4"/>
  <c r="M95" i="4"/>
  <c r="M18" i="4"/>
  <c r="M161" i="4"/>
  <c r="M51" i="4"/>
  <c r="M216" i="4"/>
  <c r="M106" i="4"/>
  <c r="M139" i="4"/>
  <c r="M194" i="4"/>
  <c r="M150" i="4"/>
  <c r="M117" i="4"/>
  <c r="Z59" i="3"/>
  <c r="M62" i="4"/>
  <c r="M73" i="4"/>
  <c r="M128" i="4"/>
  <c r="N30" i="4"/>
  <c r="O30" i="4" s="1"/>
  <c r="Z30" i="4"/>
  <c r="AA30" i="4" s="1"/>
  <c r="E140" i="4"/>
  <c r="Z206" i="4"/>
  <c r="AA206" i="4" s="1"/>
  <c r="N206" i="4"/>
  <c r="O206" i="4" s="1"/>
  <c r="R196" i="4"/>
  <c r="T196" i="4"/>
  <c r="S196" i="4"/>
  <c r="Z129" i="4"/>
  <c r="AA129" i="4" s="1"/>
  <c r="N129" i="4"/>
  <c r="O129" i="4" s="1"/>
  <c r="X58" i="3"/>
  <c r="S57" i="3"/>
  <c r="X57" i="3" s="1"/>
  <c r="N162" i="4"/>
  <c r="O162" i="4" s="1"/>
  <c r="Z162" i="4"/>
  <c r="AA162" i="4" s="1"/>
  <c r="R141" i="4"/>
  <c r="T141" i="4"/>
  <c r="S141" i="4"/>
  <c r="Z63" i="4"/>
  <c r="AA63" i="4" s="1"/>
  <c r="N63" i="4"/>
  <c r="O63" i="4" s="1"/>
  <c r="Z19" i="4"/>
  <c r="AA19" i="4" s="1"/>
  <c r="D140" i="4"/>
  <c r="N19" i="4"/>
  <c r="O19" i="4" s="1"/>
  <c r="R152" i="4"/>
  <c r="T152" i="4"/>
  <c r="S152" i="4"/>
  <c r="Z52" i="4"/>
  <c r="AA52" i="4" s="1"/>
  <c r="G140" i="4"/>
  <c r="N52" i="4"/>
  <c r="O52" i="4" s="1"/>
  <c r="N96" i="4"/>
  <c r="O96" i="4" s="1"/>
  <c r="Z96" i="4"/>
  <c r="AA96" i="4" s="1"/>
  <c r="S108" i="4"/>
  <c r="T108" i="4"/>
  <c r="R108" i="4"/>
  <c r="R42" i="4"/>
  <c r="T42" i="4"/>
  <c r="S42" i="4"/>
  <c r="N117" i="4" l="1"/>
  <c r="O117" i="4" s="1"/>
  <c r="Z117" i="4"/>
  <c r="AA117" i="4" s="1"/>
  <c r="R162" i="4"/>
  <c r="T162" i="4"/>
  <c r="S162" i="4"/>
  <c r="Z194" i="4"/>
  <c r="AA194" i="4" s="1"/>
  <c r="N194" i="4"/>
  <c r="O194" i="4" s="1"/>
  <c r="N84" i="4"/>
  <c r="O84" i="4" s="1"/>
  <c r="Z84" i="4"/>
  <c r="AA84" i="4" s="1"/>
  <c r="S52" i="4"/>
  <c r="T52" i="4"/>
  <c r="R52" i="4"/>
  <c r="N62" i="4"/>
  <c r="O62" i="4" s="1"/>
  <c r="Z62" i="4"/>
  <c r="AA62" i="4" s="1"/>
  <c r="Z205" i="4"/>
  <c r="AA205" i="4" s="1"/>
  <c r="N205" i="4"/>
  <c r="O205" i="4" s="1"/>
  <c r="R151" i="4"/>
  <c r="S151" i="4"/>
  <c r="T151" i="4"/>
  <c r="Z183" i="4"/>
  <c r="AA183" i="4" s="1"/>
  <c r="N183" i="4"/>
  <c r="O183" i="4" s="1"/>
  <c r="T8" i="4"/>
  <c r="R8" i="4"/>
  <c r="S8" i="4"/>
  <c r="S217" i="4"/>
  <c r="T217" i="4"/>
  <c r="R217" i="4"/>
  <c r="S206" i="4"/>
  <c r="R206" i="4"/>
  <c r="T206" i="4"/>
  <c r="N150" i="4"/>
  <c r="O150" i="4" s="1"/>
  <c r="Z150" i="4"/>
  <c r="AA150" i="4" s="1"/>
  <c r="N40" i="4"/>
  <c r="O40" i="4" s="1"/>
  <c r="F139" i="4"/>
  <c r="Z40" i="4"/>
  <c r="AA40" i="4" s="1"/>
  <c r="N106" i="4"/>
  <c r="O106" i="4" s="1"/>
  <c r="Z106" i="4"/>
  <c r="AA106" i="4" s="1"/>
  <c r="H139" i="4"/>
  <c r="N29" i="4"/>
  <c r="O29" i="4" s="1"/>
  <c r="E139" i="4"/>
  <c r="Z29" i="4"/>
  <c r="AA29" i="4" s="1"/>
  <c r="T173" i="4"/>
  <c r="R173" i="4"/>
  <c r="S173" i="4"/>
  <c r="S184" i="4"/>
  <c r="T184" i="4"/>
  <c r="R184" i="4"/>
  <c r="Z139" i="4"/>
  <c r="AA139" i="4" s="1"/>
  <c r="N139" i="4"/>
  <c r="O139" i="4" s="1"/>
  <c r="S19" i="4"/>
  <c r="T19" i="4"/>
  <c r="R19" i="4"/>
  <c r="S30" i="4"/>
  <c r="R30" i="4"/>
  <c r="T30" i="4"/>
  <c r="N216" i="4"/>
  <c r="O216" i="4" s="1"/>
  <c r="Z216" i="4"/>
  <c r="AA216" i="4" s="1"/>
  <c r="R195" i="4"/>
  <c r="T195" i="4"/>
  <c r="S195" i="4"/>
  <c r="R140" i="4"/>
  <c r="S140" i="4"/>
  <c r="T140" i="4"/>
  <c r="N7" i="4"/>
  <c r="O7" i="4" s="1"/>
  <c r="C139" i="4"/>
  <c r="Z7" i="4"/>
  <c r="AA7" i="4" s="1"/>
  <c r="S69" i="3"/>
  <c r="M60" i="4"/>
  <c r="M104" i="4"/>
  <c r="M170" i="4"/>
  <c r="M5" i="4"/>
  <c r="M71" i="4"/>
  <c r="M115" i="4"/>
  <c r="M181" i="4"/>
  <c r="M38" i="4"/>
  <c r="M16" i="4"/>
  <c r="Z57" i="3"/>
  <c r="M192" i="4"/>
  <c r="M159" i="4"/>
  <c r="M49" i="4"/>
  <c r="M126" i="4"/>
  <c r="M214" i="4"/>
  <c r="M27" i="4"/>
  <c r="M137" i="4"/>
  <c r="M203" i="4"/>
  <c r="M148" i="4"/>
  <c r="M82" i="4"/>
  <c r="M93" i="4"/>
  <c r="N51" i="4"/>
  <c r="O51" i="4" s="1"/>
  <c r="G139" i="4"/>
  <c r="Z51" i="4"/>
  <c r="AA51" i="4" s="1"/>
  <c r="T129" i="4"/>
  <c r="R129" i="4"/>
  <c r="S129" i="4"/>
  <c r="N161" i="4"/>
  <c r="O161" i="4" s="1"/>
  <c r="Z161" i="4"/>
  <c r="AA161" i="4" s="1"/>
  <c r="M39" i="4"/>
  <c r="M204" i="4"/>
  <c r="M6" i="4"/>
  <c r="M127" i="4"/>
  <c r="M138" i="4"/>
  <c r="M72" i="4"/>
  <c r="M193" i="4"/>
  <c r="M83" i="4"/>
  <c r="M61" i="4"/>
  <c r="M116" i="4"/>
  <c r="M105" i="4"/>
  <c r="M149" i="4"/>
  <c r="M94" i="4"/>
  <c r="Z58" i="3"/>
  <c r="M160" i="4"/>
  <c r="M171" i="4"/>
  <c r="M215" i="4"/>
  <c r="M50" i="4"/>
  <c r="M182" i="4"/>
  <c r="M28" i="4"/>
  <c r="M17" i="4"/>
  <c r="R63" i="4"/>
  <c r="S63" i="4"/>
  <c r="T63" i="4"/>
  <c r="N128" i="4"/>
  <c r="O128" i="4" s="1"/>
  <c r="Z128" i="4"/>
  <c r="AA128" i="4" s="1"/>
  <c r="N18" i="4"/>
  <c r="O18" i="4" s="1"/>
  <c r="Z18" i="4"/>
  <c r="AA18" i="4" s="1"/>
  <c r="D139" i="4"/>
  <c r="T85" i="4"/>
  <c r="R85" i="4"/>
  <c r="S85" i="4"/>
  <c r="R74" i="4"/>
  <c r="S74" i="4"/>
  <c r="T74" i="4"/>
  <c r="Z172" i="4"/>
  <c r="AA172" i="4" s="1"/>
  <c r="N172" i="4"/>
  <c r="O172" i="4" s="1"/>
  <c r="S96" i="4"/>
  <c r="T96" i="4"/>
  <c r="R96" i="4"/>
  <c r="N73" i="4"/>
  <c r="O73" i="4" s="1"/>
  <c r="Z73" i="4"/>
  <c r="AA73" i="4" s="1"/>
  <c r="N95" i="4"/>
  <c r="O95" i="4" s="1"/>
  <c r="Z95" i="4"/>
  <c r="AA95" i="4" s="1"/>
  <c r="R107" i="4"/>
  <c r="T107" i="4"/>
  <c r="S107" i="4"/>
  <c r="S118" i="4"/>
  <c r="T118" i="4"/>
  <c r="R118" i="4"/>
  <c r="S41" i="4"/>
  <c r="R41" i="4"/>
  <c r="T41" i="4"/>
  <c r="Z64" i="3" l="1"/>
  <c r="Z138" i="4"/>
  <c r="AA138" i="4" s="1"/>
  <c r="N138" i="4"/>
  <c r="O138" i="4" s="1"/>
  <c r="N105" i="4"/>
  <c r="O105" i="4" s="1"/>
  <c r="H138" i="4"/>
  <c r="Z105" i="4"/>
  <c r="AA105" i="4" s="1"/>
  <c r="T161" i="4"/>
  <c r="R161" i="4"/>
  <c r="S161" i="4"/>
  <c r="AB141" i="4"/>
  <c r="AB143" i="4" s="1"/>
  <c r="D50" i="4"/>
  <c r="Z137" i="4"/>
  <c r="N137" i="4"/>
  <c r="O137" i="4" s="1"/>
  <c r="AB139" i="4"/>
  <c r="N71" i="4"/>
  <c r="O71" i="4" s="1"/>
  <c r="AB75" i="4"/>
  <c r="Z71" i="4"/>
  <c r="D44" i="4"/>
  <c r="AB73" i="4"/>
  <c r="S106" i="4"/>
  <c r="R106" i="4"/>
  <c r="T106" i="4"/>
  <c r="N28" i="4"/>
  <c r="O28" i="4" s="1"/>
  <c r="E138" i="4"/>
  <c r="Z28" i="4"/>
  <c r="AA28" i="4" s="1"/>
  <c r="N83" i="4"/>
  <c r="O83" i="4" s="1"/>
  <c r="Z83" i="4"/>
  <c r="AA83" i="4" s="1"/>
  <c r="D49" i="4"/>
  <c r="N126" i="4"/>
  <c r="O126" i="4" s="1"/>
  <c r="AB130" i="4"/>
  <c r="Z126" i="4"/>
  <c r="AB128" i="4"/>
  <c r="AB108" i="4"/>
  <c r="AB110" i="4" s="1"/>
  <c r="H137" i="4"/>
  <c r="D47" i="4"/>
  <c r="Z104" i="4"/>
  <c r="N104" i="4"/>
  <c r="O104" i="4" s="1"/>
  <c r="AB106" i="4"/>
  <c r="S40" i="4"/>
  <c r="R40" i="4"/>
  <c r="T40" i="4"/>
  <c r="R183" i="4"/>
  <c r="T183" i="4"/>
  <c r="S183" i="4"/>
  <c r="Z5" i="4"/>
  <c r="D38" i="4"/>
  <c r="C137" i="4"/>
  <c r="N5" i="4"/>
  <c r="O5" i="4" s="1"/>
  <c r="AB9" i="4"/>
  <c r="AB7" i="4"/>
  <c r="T95" i="4"/>
  <c r="S95" i="4"/>
  <c r="R95" i="4"/>
  <c r="N17" i="4"/>
  <c r="O17" i="4" s="1"/>
  <c r="D138" i="4"/>
  <c r="Z17" i="4"/>
  <c r="AA17" i="4" s="1"/>
  <c r="N61" i="4"/>
  <c r="O61" i="4" s="1"/>
  <c r="Z61" i="4"/>
  <c r="AA61" i="4" s="1"/>
  <c r="Z214" i="4"/>
  <c r="D57" i="4"/>
  <c r="AB218" i="4"/>
  <c r="N214" i="4"/>
  <c r="O214" i="4" s="1"/>
  <c r="AB216" i="4"/>
  <c r="AB174" i="4"/>
  <c r="Z170" i="4"/>
  <c r="D53" i="4"/>
  <c r="N170" i="4"/>
  <c r="O170" i="4" s="1"/>
  <c r="AB172" i="4"/>
  <c r="R73" i="4"/>
  <c r="S73" i="4"/>
  <c r="T73" i="4"/>
  <c r="Z182" i="4"/>
  <c r="AA182" i="4" s="1"/>
  <c r="N182" i="4"/>
  <c r="O182" i="4" s="1"/>
  <c r="N193" i="4"/>
  <c r="O193" i="4" s="1"/>
  <c r="Z193" i="4"/>
  <c r="AA193" i="4" s="1"/>
  <c r="Z49" i="4"/>
  <c r="G137" i="4"/>
  <c r="N49" i="4"/>
  <c r="O49" i="4" s="1"/>
  <c r="AB53" i="4"/>
  <c r="D42" i="4"/>
  <c r="AB51" i="4"/>
  <c r="Z60" i="4"/>
  <c r="N60" i="4"/>
  <c r="O60" i="4" s="1"/>
  <c r="AB64" i="4"/>
  <c r="D43" i="4"/>
  <c r="AB62" i="4"/>
  <c r="S216" i="4"/>
  <c r="R216" i="4"/>
  <c r="T216" i="4"/>
  <c r="S84" i="4"/>
  <c r="T84" i="4"/>
  <c r="R84" i="4"/>
  <c r="N159" i="4"/>
  <c r="O159" i="4" s="1"/>
  <c r="Z159" i="4"/>
  <c r="AB163" i="4"/>
  <c r="AB165" i="4" s="1"/>
  <c r="D52" i="4"/>
  <c r="AB161" i="4"/>
  <c r="T150" i="4"/>
  <c r="S150" i="4"/>
  <c r="R150" i="4"/>
  <c r="R194" i="4"/>
  <c r="T194" i="4"/>
  <c r="S194" i="4"/>
  <c r="T172" i="4"/>
  <c r="S172" i="4"/>
  <c r="R172" i="4"/>
  <c r="Z160" i="4"/>
  <c r="AA160" i="4" s="1"/>
  <c r="N160" i="4"/>
  <c r="O160" i="4" s="1"/>
  <c r="N6" i="4"/>
  <c r="O6" i="4" s="1"/>
  <c r="C138" i="4"/>
  <c r="Z6" i="4"/>
  <c r="AA6" i="4" s="1"/>
  <c r="N93" i="4"/>
  <c r="O93" i="4" s="1"/>
  <c r="AB97" i="4"/>
  <c r="D46" i="4"/>
  <c r="Z93" i="4"/>
  <c r="AB95" i="4"/>
  <c r="N16" i="4"/>
  <c r="O16" i="4" s="1"/>
  <c r="D137" i="4"/>
  <c r="AB20" i="4"/>
  <c r="AB22" i="4" s="1"/>
  <c r="Z16" i="4"/>
  <c r="D39" i="4"/>
  <c r="AB18" i="4"/>
  <c r="R7" i="4"/>
  <c r="T7" i="4"/>
  <c r="S7" i="4"/>
  <c r="R205" i="4"/>
  <c r="S205" i="4"/>
  <c r="T205" i="4"/>
  <c r="N27" i="4"/>
  <c r="O27" i="4" s="1"/>
  <c r="AB31" i="4"/>
  <c r="AB33" i="4" s="1"/>
  <c r="D40" i="4"/>
  <c r="Z27" i="4"/>
  <c r="E137" i="4"/>
  <c r="AB29" i="4"/>
  <c r="N50" i="4"/>
  <c r="O50" i="4" s="1"/>
  <c r="G138" i="4"/>
  <c r="Z50" i="4"/>
  <c r="AA50" i="4" s="1"/>
  <c r="T51" i="4"/>
  <c r="S51" i="4"/>
  <c r="R51" i="4"/>
  <c r="N171" i="4"/>
  <c r="O171" i="4" s="1"/>
  <c r="Z171" i="4"/>
  <c r="AA171" i="4" s="1"/>
  <c r="T128" i="4"/>
  <c r="S128" i="4"/>
  <c r="R128" i="4"/>
  <c r="Z204" i="4"/>
  <c r="AA204" i="4" s="1"/>
  <c r="N204" i="4"/>
  <c r="O204" i="4" s="1"/>
  <c r="Z82" i="4"/>
  <c r="N82" i="4"/>
  <c r="O82" i="4" s="1"/>
  <c r="D45" i="4"/>
  <c r="AB86" i="4"/>
  <c r="AB84" i="4"/>
  <c r="N38" i="4"/>
  <c r="O38" i="4" s="1"/>
  <c r="D41" i="4"/>
  <c r="Z38" i="4"/>
  <c r="AB42" i="4"/>
  <c r="F137" i="4"/>
  <c r="AB40" i="4"/>
  <c r="S29" i="4"/>
  <c r="R29" i="4"/>
  <c r="T29" i="4"/>
  <c r="N72" i="4"/>
  <c r="O72" i="4" s="1"/>
  <c r="Z72" i="4"/>
  <c r="AA72" i="4" s="1"/>
  <c r="Z215" i="4"/>
  <c r="AA215" i="4" s="1"/>
  <c r="N215" i="4"/>
  <c r="O215" i="4" s="1"/>
  <c r="S18" i="4"/>
  <c r="T18" i="4"/>
  <c r="R18" i="4"/>
  <c r="Z127" i="4"/>
  <c r="AA127" i="4" s="1"/>
  <c r="N127" i="4"/>
  <c r="O127" i="4" s="1"/>
  <c r="N94" i="4"/>
  <c r="O94" i="4" s="1"/>
  <c r="Z94" i="4"/>
  <c r="AA94" i="4" s="1"/>
  <c r="N39" i="4"/>
  <c r="O39" i="4" s="1"/>
  <c r="F138" i="4"/>
  <c r="Z39" i="4"/>
  <c r="AA39" i="4" s="1"/>
  <c r="D51" i="4"/>
  <c r="AB152" i="4"/>
  <c r="AB154" i="4" s="1"/>
  <c r="Z148" i="4"/>
  <c r="N148" i="4"/>
  <c r="O148" i="4" s="1"/>
  <c r="AB150" i="4"/>
  <c r="D54" i="4"/>
  <c r="Z181" i="4"/>
  <c r="AB185" i="4"/>
  <c r="N181" i="4"/>
  <c r="O181" i="4" s="1"/>
  <c r="AB183" i="4"/>
  <c r="N116" i="4"/>
  <c r="O116" i="4" s="1"/>
  <c r="Z116" i="4"/>
  <c r="AA116" i="4" s="1"/>
  <c r="Z192" i="4"/>
  <c r="AB196" i="4"/>
  <c r="AB198" i="4" s="1"/>
  <c r="D55" i="4"/>
  <c r="N192" i="4"/>
  <c r="O192" i="4" s="1"/>
  <c r="AB194" i="4"/>
  <c r="AA62" i="3"/>
  <c r="G61" i="3" s="1"/>
  <c r="AA61" i="3"/>
  <c r="G60" i="3" s="1"/>
  <c r="AA60" i="3"/>
  <c r="G59" i="3" s="1"/>
  <c r="AA59" i="3"/>
  <c r="G58" i="3" s="1"/>
  <c r="Z149" i="4"/>
  <c r="AA149" i="4" s="1"/>
  <c r="N149" i="4"/>
  <c r="O149" i="4" s="1"/>
  <c r="AB207" i="4"/>
  <c r="Z203" i="4"/>
  <c r="N203" i="4"/>
  <c r="O203" i="4" s="1"/>
  <c r="D56" i="4"/>
  <c r="AB205" i="4"/>
  <c r="D48" i="4"/>
  <c r="Z115" i="4"/>
  <c r="AB119" i="4"/>
  <c r="N115" i="4"/>
  <c r="O115" i="4" s="1"/>
  <c r="AB117" i="4"/>
  <c r="T139" i="4"/>
  <c r="S139" i="4"/>
  <c r="R139" i="4"/>
  <c r="T62" i="4"/>
  <c r="S62" i="4"/>
  <c r="R62" i="4"/>
  <c r="T117" i="4"/>
  <c r="S117" i="4"/>
  <c r="R117" i="4"/>
  <c r="AB55" i="4" l="1"/>
  <c r="AB132" i="4"/>
  <c r="AB209" i="4"/>
  <c r="AB176" i="4"/>
  <c r="AB99" i="4"/>
  <c r="AA57" i="3"/>
  <c r="AA58" i="3"/>
  <c r="G57" i="3" s="1"/>
  <c r="R60" i="4"/>
  <c r="T60" i="4"/>
  <c r="U60" i="4" s="1"/>
  <c r="S60" i="4"/>
  <c r="Z220" i="4"/>
  <c r="AA214" i="4"/>
  <c r="AA220" i="4" s="1"/>
  <c r="AB214" i="4" s="1"/>
  <c r="R28" i="4"/>
  <c r="T28" i="4"/>
  <c r="S28" i="4"/>
  <c r="T203" i="4"/>
  <c r="U203" i="4" s="1"/>
  <c r="S203" i="4"/>
  <c r="R203" i="4"/>
  <c r="R38" i="4"/>
  <c r="T38" i="4"/>
  <c r="U38" i="4" s="1"/>
  <c r="S38" i="4"/>
  <c r="R171" i="4"/>
  <c r="S171" i="4"/>
  <c r="T171" i="4"/>
  <c r="T27" i="4"/>
  <c r="U27" i="4" s="1"/>
  <c r="R27" i="4"/>
  <c r="S27" i="4"/>
  <c r="R16" i="4"/>
  <c r="S16" i="4"/>
  <c r="T16" i="4"/>
  <c r="U16" i="4" s="1"/>
  <c r="R159" i="4"/>
  <c r="T159" i="4"/>
  <c r="U159" i="4" s="1"/>
  <c r="S159" i="4"/>
  <c r="T61" i="4"/>
  <c r="S61" i="4"/>
  <c r="R61" i="4"/>
  <c r="Z11" i="4"/>
  <c r="AA5" i="4"/>
  <c r="AA11" i="4" s="1"/>
  <c r="AB88" i="4"/>
  <c r="AA203" i="4"/>
  <c r="AA209" i="4" s="1"/>
  <c r="Z209" i="4"/>
  <c r="T149" i="4"/>
  <c r="R149" i="4"/>
  <c r="S149" i="4"/>
  <c r="T72" i="4"/>
  <c r="S72" i="4"/>
  <c r="R72" i="4"/>
  <c r="R170" i="4"/>
  <c r="S170" i="4"/>
  <c r="T170" i="4"/>
  <c r="U170" i="4" s="1"/>
  <c r="AA126" i="4"/>
  <c r="AA132" i="4" s="1"/>
  <c r="Z132" i="4"/>
  <c r="T215" i="4"/>
  <c r="R215" i="4"/>
  <c r="S215" i="4"/>
  <c r="T49" i="4"/>
  <c r="U49" i="4" s="1"/>
  <c r="S49" i="4"/>
  <c r="R49" i="4"/>
  <c r="R17" i="4"/>
  <c r="S17" i="4"/>
  <c r="T17" i="4"/>
  <c r="AA170" i="4"/>
  <c r="AA176" i="4" s="1"/>
  <c r="AB170" i="4" s="1"/>
  <c r="Z176" i="4"/>
  <c r="R126" i="4"/>
  <c r="S126" i="4"/>
  <c r="T126" i="4"/>
  <c r="U126" i="4" s="1"/>
  <c r="Z77" i="4"/>
  <c r="AA71" i="4"/>
  <c r="AA77" i="4" s="1"/>
  <c r="AB71" i="4" s="1"/>
  <c r="D189" i="4"/>
  <c r="F189" i="4" s="1"/>
  <c r="Z66" i="4"/>
  <c r="AA60" i="4"/>
  <c r="AA66" i="4" s="1"/>
  <c r="T93" i="4"/>
  <c r="U93" i="4" s="1"/>
  <c r="S93" i="4"/>
  <c r="R93" i="4"/>
  <c r="AA49" i="4"/>
  <c r="AA55" i="4" s="1"/>
  <c r="Z55" i="4"/>
  <c r="AB77" i="4"/>
  <c r="S105" i="4"/>
  <c r="T105" i="4"/>
  <c r="R105" i="4"/>
  <c r="AA93" i="4"/>
  <c r="AA99" i="4" s="1"/>
  <c r="Z99" i="4"/>
  <c r="T82" i="4"/>
  <c r="U82" i="4" s="1"/>
  <c r="S82" i="4"/>
  <c r="R82" i="4"/>
  <c r="R115" i="4"/>
  <c r="S115" i="4"/>
  <c r="T115" i="4"/>
  <c r="U115" i="4" s="1"/>
  <c r="S94" i="4"/>
  <c r="R94" i="4"/>
  <c r="T94" i="4"/>
  <c r="AA82" i="4"/>
  <c r="AA88" i="4" s="1"/>
  <c r="AB82" i="4" s="1"/>
  <c r="Z88" i="4"/>
  <c r="R127" i="4"/>
  <c r="S127" i="4"/>
  <c r="T127" i="4"/>
  <c r="R50" i="4"/>
  <c r="T50" i="4"/>
  <c r="S50" i="4"/>
  <c r="T71" i="4"/>
  <c r="U71" i="4" s="1"/>
  <c r="S71" i="4"/>
  <c r="R71" i="4"/>
  <c r="R138" i="4"/>
  <c r="S138" i="4"/>
  <c r="T138" i="4"/>
  <c r="AA159" i="4"/>
  <c r="AA165" i="4" s="1"/>
  <c r="Z165" i="4"/>
  <c r="D190" i="4"/>
  <c r="F190" i="4" s="1"/>
  <c r="D188" i="4"/>
  <c r="F188" i="4" s="1"/>
  <c r="D194" i="4"/>
  <c r="D193" i="4"/>
  <c r="F193" i="4" s="1"/>
  <c r="D192" i="4"/>
  <c r="F192" i="4" s="1"/>
  <c r="D191" i="4"/>
  <c r="F191" i="4" s="1"/>
  <c r="AA192" i="4"/>
  <c r="AA198" i="4" s="1"/>
  <c r="Z198" i="4"/>
  <c r="AB187" i="4"/>
  <c r="R204" i="4"/>
  <c r="T204" i="4"/>
  <c r="S204" i="4"/>
  <c r="Z121" i="4"/>
  <c r="AA115" i="4"/>
  <c r="AA121" i="4" s="1"/>
  <c r="T193" i="4"/>
  <c r="S193" i="4"/>
  <c r="R193" i="4"/>
  <c r="S214" i="4"/>
  <c r="R214" i="4"/>
  <c r="T214" i="4"/>
  <c r="U214" i="4" s="1"/>
  <c r="R83" i="4"/>
  <c r="T83" i="4"/>
  <c r="S83" i="4"/>
  <c r="AA148" i="4"/>
  <c r="AA154" i="4" s="1"/>
  <c r="Z154" i="4"/>
  <c r="AA38" i="4"/>
  <c r="AA44" i="4" s="1"/>
  <c r="Z44" i="4"/>
  <c r="R39" i="4"/>
  <c r="T39" i="4"/>
  <c r="S39" i="4"/>
  <c r="S181" i="4"/>
  <c r="R181" i="4"/>
  <c r="T181" i="4"/>
  <c r="U181" i="4" s="1"/>
  <c r="AB121" i="4"/>
  <c r="Z187" i="4"/>
  <c r="AA181" i="4"/>
  <c r="AA187" i="4" s="1"/>
  <c r="S6" i="4"/>
  <c r="T6" i="4"/>
  <c r="R6" i="4"/>
  <c r="R182" i="4"/>
  <c r="T182" i="4"/>
  <c r="S182" i="4"/>
  <c r="AB220" i="4"/>
  <c r="AB11" i="4"/>
  <c r="T104" i="4"/>
  <c r="U104" i="4" s="1"/>
  <c r="U105" i="4" s="1"/>
  <c r="U106" i="4" s="1"/>
  <c r="U107" i="4" s="1"/>
  <c r="U108" i="4" s="1"/>
  <c r="U109" i="4" s="1"/>
  <c r="S104" i="4"/>
  <c r="R104" i="4"/>
  <c r="R137" i="4"/>
  <c r="S137" i="4"/>
  <c r="T137" i="4"/>
  <c r="U137" i="4" s="1"/>
  <c r="U138" i="4" s="1"/>
  <c r="U139" i="4" s="1"/>
  <c r="U140" i="4" s="1"/>
  <c r="U141" i="4" s="1"/>
  <c r="U142" i="4" s="1"/>
  <c r="S116" i="4"/>
  <c r="R116" i="4"/>
  <c r="T116" i="4"/>
  <c r="R192" i="4"/>
  <c r="T192" i="4"/>
  <c r="U192" i="4" s="1"/>
  <c r="S192" i="4"/>
  <c r="R148" i="4"/>
  <c r="T148" i="4"/>
  <c r="U148" i="4" s="1"/>
  <c r="S148" i="4"/>
  <c r="AB44" i="4"/>
  <c r="AA27" i="4"/>
  <c r="AA33" i="4" s="1"/>
  <c r="Z33" i="4"/>
  <c r="AA16" i="4"/>
  <c r="AA22" i="4" s="1"/>
  <c r="Z22" i="4"/>
  <c r="T160" i="4"/>
  <c r="S160" i="4"/>
  <c r="R160" i="4"/>
  <c r="AB66" i="4"/>
  <c r="R5" i="4"/>
  <c r="T5" i="4"/>
  <c r="U5" i="4" s="1"/>
  <c r="S5" i="4"/>
  <c r="Z110" i="4"/>
  <c r="AA104" i="4"/>
  <c r="AA110" i="4" s="1"/>
  <c r="AB104" i="4" s="1"/>
  <c r="V104" i="4" s="1"/>
  <c r="C47" i="4" s="1"/>
  <c r="Z143" i="4"/>
  <c r="AA137" i="4"/>
  <c r="AA143" i="4" s="1"/>
  <c r="AB148" i="4" l="1"/>
  <c r="AB93" i="4"/>
  <c r="U17" i="4"/>
  <c r="U18" i="4" s="1"/>
  <c r="U19" i="4" s="1"/>
  <c r="U20" i="4" s="1"/>
  <c r="U21" i="4" s="1"/>
  <c r="AC57" i="3"/>
  <c r="G56" i="3"/>
  <c r="U127" i="4"/>
  <c r="U128" i="4" s="1"/>
  <c r="U129" i="4" s="1"/>
  <c r="U130" i="4" s="1"/>
  <c r="U131" i="4" s="1"/>
  <c r="U116" i="4"/>
  <c r="U117" i="4" s="1"/>
  <c r="U118" i="4" s="1"/>
  <c r="U119" i="4" s="1"/>
  <c r="U120" i="4" s="1"/>
  <c r="V115" i="4" s="1"/>
  <c r="C48" i="4" s="1"/>
  <c r="E48" i="4" s="1"/>
  <c r="U72" i="4"/>
  <c r="U73" i="4" s="1"/>
  <c r="U74" i="4" s="1"/>
  <c r="U75" i="4" s="1"/>
  <c r="U76" i="4" s="1"/>
  <c r="V71" i="4" s="1"/>
  <c r="C44" i="4" s="1"/>
  <c r="U171" i="4"/>
  <c r="U172" i="4" s="1"/>
  <c r="U173" i="4" s="1"/>
  <c r="U174" i="4" s="1"/>
  <c r="U175" i="4" s="1"/>
  <c r="V170" i="4" s="1"/>
  <c r="C53" i="4" s="1"/>
  <c r="AB5" i="4"/>
  <c r="AB115" i="4"/>
  <c r="AB137" i="4"/>
  <c r="V137" i="4" s="1"/>
  <c r="C50" i="4" s="1"/>
  <c r="AB16" i="4"/>
  <c r="AB192" i="4"/>
  <c r="AB38" i="4"/>
  <c r="AB49" i="4"/>
  <c r="AB203" i="4"/>
  <c r="U204" i="4"/>
  <c r="U205" i="4" s="1"/>
  <c r="U206" i="4" s="1"/>
  <c r="U207" i="4" s="1"/>
  <c r="U208" i="4" s="1"/>
  <c r="AB27" i="4"/>
  <c r="V27" i="4" s="1"/>
  <c r="C40" i="4" s="1"/>
  <c r="AB126" i="4"/>
  <c r="V126" i="4" s="1"/>
  <c r="C49" i="4" s="1"/>
  <c r="E49" i="4" s="1"/>
  <c r="U149" i="4"/>
  <c r="U150" i="4" s="1"/>
  <c r="U151" i="4" s="1"/>
  <c r="U152" i="4" s="1"/>
  <c r="U153" i="4" s="1"/>
  <c r="V148" i="4" s="1"/>
  <c r="C51" i="4" s="1"/>
  <c r="AB181" i="4"/>
  <c r="U94" i="4"/>
  <c r="U95" i="4" s="1"/>
  <c r="U96" i="4" s="1"/>
  <c r="U97" i="4" s="1"/>
  <c r="U98" i="4" s="1"/>
  <c r="V93" i="4" s="1"/>
  <c r="C46" i="4" s="1"/>
  <c r="U28" i="4"/>
  <c r="U29" i="4" s="1"/>
  <c r="U30" i="4" s="1"/>
  <c r="U31" i="4" s="1"/>
  <c r="U32" i="4" s="1"/>
  <c r="U6" i="4"/>
  <c r="U7" i="4" s="1"/>
  <c r="U8" i="4" s="1"/>
  <c r="U9" i="4" s="1"/>
  <c r="U10" i="4" s="1"/>
  <c r="U83" i="4"/>
  <c r="U84" i="4" s="1"/>
  <c r="U85" i="4" s="1"/>
  <c r="U86" i="4" s="1"/>
  <c r="U87" i="4" s="1"/>
  <c r="V82" i="4" s="1"/>
  <c r="C45" i="4" s="1"/>
  <c r="U193" i="4"/>
  <c r="U194" i="4" s="1"/>
  <c r="U195" i="4" s="1"/>
  <c r="U196" i="4" s="1"/>
  <c r="U197" i="4" s="1"/>
  <c r="V192" i="4" s="1"/>
  <c r="C55" i="4" s="1"/>
  <c r="U182" i="4"/>
  <c r="U183" i="4" s="1"/>
  <c r="U184" i="4" s="1"/>
  <c r="U185" i="4" s="1"/>
  <c r="U186" i="4" s="1"/>
  <c r="V181" i="4" s="1"/>
  <c r="C54" i="4" s="1"/>
  <c r="AB159" i="4"/>
  <c r="AB60" i="4"/>
  <c r="U215" i="4"/>
  <c r="U216" i="4" s="1"/>
  <c r="U217" i="4" s="1"/>
  <c r="U218" i="4" s="1"/>
  <c r="U219" i="4" s="1"/>
  <c r="V214" i="4" s="1"/>
  <c r="C57" i="4" s="1"/>
  <c r="U61" i="4"/>
  <c r="U62" i="4" s="1"/>
  <c r="U63" i="4" s="1"/>
  <c r="U64" i="4" s="1"/>
  <c r="U65" i="4" s="1"/>
  <c r="U50" i="4"/>
  <c r="U51" i="4" s="1"/>
  <c r="U52" i="4" s="1"/>
  <c r="U53" i="4" s="1"/>
  <c r="U54" i="4" s="1"/>
  <c r="U160" i="4"/>
  <c r="U161" i="4" s="1"/>
  <c r="U162" i="4" s="1"/>
  <c r="U163" i="4" s="1"/>
  <c r="U164" i="4" s="1"/>
  <c r="U39" i="4"/>
  <c r="U40" i="4" s="1"/>
  <c r="U41" i="4" s="1"/>
  <c r="U42" i="4" s="1"/>
  <c r="U43" i="4" s="1"/>
  <c r="E54" i="4" l="1"/>
  <c r="E45" i="4"/>
  <c r="V159" i="4"/>
  <c r="C52" i="4" s="1"/>
  <c r="E52" i="4" s="1"/>
  <c r="V38" i="4"/>
  <c r="C41" i="4" s="1"/>
  <c r="V5" i="4"/>
  <c r="C38" i="4" s="1"/>
  <c r="E38" i="4" s="1"/>
  <c r="G38" i="4" s="1"/>
  <c r="AD57" i="3"/>
  <c r="AC58" i="3"/>
  <c r="AK57" i="3"/>
  <c r="V16" i="4"/>
  <c r="C39" i="4" s="1"/>
  <c r="E40" i="4" s="1"/>
  <c r="E46" i="4"/>
  <c r="E47" i="4"/>
  <c r="E55" i="4"/>
  <c r="E44" i="4"/>
  <c r="V203" i="4"/>
  <c r="C56" i="4" s="1"/>
  <c r="E56" i="4" s="1"/>
  <c r="E50" i="4"/>
  <c r="V49" i="4"/>
  <c r="C42" i="4" s="1"/>
  <c r="E41" i="4" s="1"/>
  <c r="G41" i="4" s="1"/>
  <c r="E53" i="4"/>
  <c r="E51" i="4"/>
  <c r="E39" i="4"/>
  <c r="V60" i="4"/>
  <c r="C43" i="4" s="1"/>
  <c r="AK58" i="3" l="1"/>
  <c r="AC59" i="3"/>
  <c r="AB57" i="3"/>
  <c r="AJ57" i="3"/>
  <c r="AD58" i="3" s="1"/>
  <c r="E43" i="4"/>
  <c r="E57" i="4"/>
  <c r="AK59" i="3" l="1"/>
  <c r="AC60" i="3"/>
  <c r="AB58" i="3"/>
  <c r="AJ58" i="3"/>
  <c r="AD59" i="3" s="1"/>
  <c r="AB59" i="3" l="1"/>
  <c r="AJ59" i="3"/>
  <c r="AD60" i="3" s="1"/>
  <c r="AC61" i="3"/>
  <c r="AK60" i="3"/>
  <c r="AB60" i="3" l="1"/>
  <c r="AJ60" i="3"/>
  <c r="AD61" i="3" s="1"/>
  <c r="AK61" i="3"/>
  <c r="AC62" i="3"/>
  <c r="H59" i="3" l="1"/>
  <c r="H61" i="3"/>
  <c r="H62" i="3"/>
  <c r="H57" i="3"/>
  <c r="I57" i="3" s="1"/>
  <c r="H60" i="3"/>
  <c r="H56" i="3"/>
  <c r="I56" i="3" s="1"/>
  <c r="H58" i="3"/>
  <c r="I58" i="3" s="1"/>
  <c r="AK62" i="3"/>
  <c r="AB61" i="3"/>
  <c r="AJ61" i="3"/>
  <c r="AD62" i="3" s="1"/>
  <c r="AJ62" i="3" l="1"/>
  <c r="AB62" i="3"/>
  <c r="I61" i="3"/>
  <c r="I60" i="3"/>
  <c r="I62" i="3"/>
  <c r="I59" i="3"/>
</calcChain>
</file>

<file path=xl/sharedStrings.xml><?xml version="1.0" encoding="utf-8"?>
<sst xmlns="http://schemas.openxmlformats.org/spreadsheetml/2006/main" count="1752" uniqueCount="469">
  <si>
    <t>No. of Storey</t>
  </si>
  <si>
    <t>Base</t>
  </si>
  <si>
    <t>Elevation (m)</t>
  </si>
  <si>
    <t>Storey Height (m)</t>
  </si>
  <si>
    <t>Model Configuration</t>
  </si>
  <si>
    <t>Bay 1</t>
  </si>
  <si>
    <t>Bay 2</t>
  </si>
  <si>
    <t>Bay 3</t>
  </si>
  <si>
    <t>Bay 4</t>
  </si>
  <si>
    <t>Storey</t>
  </si>
  <si>
    <t>Distribution of  Masses (tonnes)</t>
  </si>
  <si>
    <t>Section Properties</t>
  </si>
  <si>
    <t>Beam</t>
  </si>
  <si>
    <t>Width</t>
  </si>
  <si>
    <t>Top</t>
  </si>
  <si>
    <t>Bottom</t>
  </si>
  <si>
    <t>Long. Reinforcement</t>
  </si>
  <si>
    <t>Trans. Reinforcement</t>
  </si>
  <si>
    <t>Qty.</t>
  </si>
  <si>
    <t>Area</t>
  </si>
  <si>
    <t>Pos.</t>
  </si>
  <si>
    <t>Spacing (mm)</t>
  </si>
  <si>
    <t>Dimensions (mm)</t>
  </si>
  <si>
    <t>Dia. (mm)</t>
  </si>
  <si>
    <t>No. of Bay</t>
  </si>
  <si>
    <t>Length (m)</t>
  </si>
  <si>
    <t>Along H.</t>
  </si>
  <si>
    <t>Column 1</t>
  </si>
  <si>
    <t>Column 2</t>
  </si>
  <si>
    <t>Column 3</t>
  </si>
  <si>
    <t>Section</t>
  </si>
  <si>
    <t>Geometry &amp; Masses</t>
  </si>
  <si>
    <t>ID</t>
  </si>
  <si>
    <t>Concrete</t>
  </si>
  <si>
    <t>εcu</t>
  </si>
  <si>
    <t>Fc (Mpa)</t>
  </si>
  <si>
    <t>Rebar</t>
  </si>
  <si>
    <t>Fy (Mpa)</t>
  </si>
  <si>
    <t>εco</t>
  </si>
  <si>
    <t>εy</t>
  </si>
  <si>
    <t>εu</t>
  </si>
  <si>
    <t>Cover</t>
  </si>
  <si>
    <t>Column</t>
  </si>
  <si>
    <t>1-1</t>
  </si>
  <si>
    <t>1-2</t>
  </si>
  <si>
    <t>1-3</t>
  </si>
  <si>
    <t>1-4</t>
  </si>
  <si>
    <t>2-1</t>
  </si>
  <si>
    <t>2-2</t>
  </si>
  <si>
    <t>2-3</t>
  </si>
  <si>
    <t>2-4</t>
  </si>
  <si>
    <t>3-1</t>
  </si>
  <si>
    <t>3-2</t>
  </si>
  <si>
    <t>3-3</t>
  </si>
  <si>
    <t>3-4</t>
  </si>
  <si>
    <t>4-1</t>
  </si>
  <si>
    <t>4-2</t>
  </si>
  <si>
    <t>4-3</t>
  </si>
  <si>
    <t>4-4</t>
  </si>
  <si>
    <t>Mcol,i [kNm]</t>
  </si>
  <si>
    <t>Mcol,i-1  [kNm]</t>
  </si>
  <si>
    <t>Mcol,i  [kNm]</t>
  </si>
  <si>
    <t>Sum</t>
  </si>
  <si>
    <t>Bay</t>
  </si>
  <si>
    <t>Set</t>
  </si>
  <si>
    <t>5-1</t>
  </si>
  <si>
    <t>5-2</t>
  </si>
  <si>
    <t>5-3</t>
  </si>
  <si>
    <t>5-4</t>
  </si>
  <si>
    <t>6-1</t>
  </si>
  <si>
    <t>6-2</t>
  </si>
  <si>
    <t>6-3</t>
  </si>
  <si>
    <t>6-4</t>
  </si>
  <si>
    <t>Cont.'</t>
  </si>
  <si>
    <t>Level</t>
  </si>
  <si>
    <t>Mechanism</t>
  </si>
  <si>
    <t>Node</t>
  </si>
  <si>
    <t>Element</t>
  </si>
  <si>
    <t>Length [m]</t>
  </si>
  <si>
    <t>Depth [m]</t>
  </si>
  <si>
    <t>θy,i [rad]</t>
  </si>
  <si>
    <t>Yield Drift and Flexural Capacities</t>
  </si>
  <si>
    <t>hcf [m]</t>
  </si>
  <si>
    <t>-</t>
  </si>
  <si>
    <t>Sway Mechanism at Storey i</t>
  </si>
  <si>
    <t>VR,i [kN]</t>
  </si>
  <si>
    <t>hs,i [m]</t>
  </si>
  <si>
    <t>θsys,i [rad]</t>
  </si>
  <si>
    <t>ky,i [kN/m]</t>
  </si>
  <si>
    <t>Elevation [m]</t>
  </si>
  <si>
    <t>θc [rad]</t>
  </si>
  <si>
    <t>Δi [m]</t>
  </si>
  <si>
    <t>Vi [kN]</t>
  </si>
  <si>
    <t>mi [tonnes]</t>
  </si>
  <si>
    <t>Δimi [mtonnes]</t>
  </si>
  <si>
    <t>SUM</t>
  </si>
  <si>
    <t>Vb [kN]</t>
  </si>
  <si>
    <t>Δi,comp [m]</t>
  </si>
  <si>
    <t>δi [m]</t>
  </si>
  <si>
    <t>Initial Computations (1st iteration)</t>
  </si>
  <si>
    <t>Capacity Information</t>
  </si>
  <si>
    <t>Base Shear</t>
  </si>
  <si>
    <t>Plotted</t>
  </si>
  <si>
    <t>Sway Mechanism</t>
  </si>
  <si>
    <t>Sum of the strengths</t>
  </si>
  <si>
    <t>Beam [kNm]</t>
  </si>
  <si>
    <t>Column [kNm]</t>
  </si>
  <si>
    <t>&gt; 0.85</t>
  </si>
  <si>
    <t>Checks !</t>
  </si>
  <si>
    <t>&lt; 1.00</t>
  </si>
  <si>
    <t>&gt; 1.00</t>
  </si>
  <si>
    <t>Sway P. Index, Si</t>
  </si>
  <si>
    <t>Sway Potential Index</t>
  </si>
  <si>
    <t>Sway-Demand Index</t>
  </si>
  <si>
    <t>Sway-D. Index, SDi</t>
  </si>
  <si>
    <t>Demand [kN]</t>
  </si>
  <si>
    <t>Storey Shear</t>
  </si>
  <si>
    <t>Resistance [kN]</t>
  </si>
  <si>
    <t>= 1.00</t>
  </si>
  <si>
    <t>θi [rad]</t>
  </si>
  <si>
    <t>MOT,i [kNm]</t>
  </si>
  <si>
    <t>1st Point of the Pushover Curve</t>
  </si>
  <si>
    <t>Δimihi [m^2tonnes]</t>
  </si>
  <si>
    <t>Heff. [m]</t>
  </si>
  <si>
    <t>Effective Height</t>
  </si>
  <si>
    <t>2nd Point of the Pushover Curve</t>
  </si>
  <si>
    <t>3rd Point of the Pushover Curve</t>
  </si>
  <si>
    <t>4th Point of the Pushover Curve</t>
  </si>
  <si>
    <t>5th Point of the Pushover Curve</t>
  </si>
  <si>
    <t>6th Point of the Pushover Curve</t>
  </si>
  <si>
    <t>Stepsize</t>
  </si>
  <si>
    <t>No</t>
  </si>
  <si>
    <t>Roof Disp. [m]</t>
  </si>
  <si>
    <t>LS1 Δi</t>
  </si>
  <si>
    <t xml:space="preserve">LS2 Δi </t>
  </si>
  <si>
    <t>LS3 Δi</t>
  </si>
  <si>
    <t xml:space="preserve">LS4 Δi </t>
  </si>
  <si>
    <t>LS5 Δi</t>
  </si>
  <si>
    <t>LS6 Δi</t>
  </si>
  <si>
    <t>Displaced Shapes</t>
  </si>
  <si>
    <t>v</t>
  </si>
  <si>
    <t>σv</t>
  </si>
  <si>
    <t>Ewh [MPa]</t>
  </si>
  <si>
    <t>Ewv [MPa]</t>
  </si>
  <si>
    <t>Gw [MPa]</t>
  </si>
  <si>
    <t>W [kN/m^3]</t>
  </si>
  <si>
    <t>fws [MPa]</t>
  </si>
  <si>
    <t>fwu [MPa]</t>
  </si>
  <si>
    <t>fwv [MPa]</t>
  </si>
  <si>
    <t>fwh [MPa]</t>
  </si>
  <si>
    <t>tw [mm]</t>
  </si>
  <si>
    <t>Mech. Props. of the Infills (Weak) (Hak et al., 2012)</t>
  </si>
  <si>
    <t>Mech. Props. of the Infills (Medium) (Hak et al., 2012)</t>
  </si>
  <si>
    <t>Mech. Props. of the Infills (Strong) (Hak et al., 2012)</t>
  </si>
  <si>
    <t>H (m)</t>
  </si>
  <si>
    <t>B (m)</t>
  </si>
  <si>
    <t>Infill Strut Geometry</t>
  </si>
  <si>
    <t>hc (m)</t>
  </si>
  <si>
    <t>hb (m)</t>
  </si>
  <si>
    <t>bc (m)</t>
  </si>
  <si>
    <t>lw (m)</t>
  </si>
  <si>
    <t>hw (m)</t>
  </si>
  <si>
    <t>dw (m)</t>
  </si>
  <si>
    <t>ϴ (rad.)</t>
  </si>
  <si>
    <t>K1</t>
  </si>
  <si>
    <t>K2</t>
  </si>
  <si>
    <t>&lt; 3.14</t>
  </si>
  <si>
    <t>&gt;3.14 &lt;7.85</t>
  </si>
  <si>
    <t>&gt;7.85</t>
  </si>
  <si>
    <t>λH</t>
  </si>
  <si>
    <t>K-Table (Bertoldi et al., 1993)</t>
  </si>
  <si>
    <t>Ewθ [MPa]</t>
  </si>
  <si>
    <t>λ</t>
  </si>
  <si>
    <t>bw [m]</t>
  </si>
  <si>
    <t>σw1</t>
  </si>
  <si>
    <t>σw2</t>
  </si>
  <si>
    <t>σw3</t>
  </si>
  <si>
    <t>σw4</t>
  </si>
  <si>
    <t>Fmax [kN]</t>
  </si>
  <si>
    <t>Fcr [kN]</t>
  </si>
  <si>
    <t>Fult [kN]</t>
  </si>
  <si>
    <t>Ic (m^4)</t>
  </si>
  <si>
    <t>Ec [MPa]</t>
  </si>
  <si>
    <t>Diagonal failure of the infill</t>
  </si>
  <si>
    <t>Corner crushing of the infill</t>
  </si>
  <si>
    <t>Shear Sliding in the mortar joints</t>
  </si>
  <si>
    <t>Compressive failure of the centre</t>
  </si>
  <si>
    <t>Mode of Failure</t>
  </si>
  <si>
    <t>Symbol</t>
  </si>
  <si>
    <t>List of Failure Types</t>
  </si>
  <si>
    <t>σw1 [MPa]</t>
  </si>
  <si>
    <t>σw2 [MPa]</t>
  </si>
  <si>
    <t>σw3 [MPa]</t>
  </si>
  <si>
    <t>σw4 [MPa]</t>
  </si>
  <si>
    <t>σmax [MPa]</t>
  </si>
  <si>
    <t>Shear Resistance, Yield Drift and Stiffness (Bare Frame)</t>
  </si>
  <si>
    <t>Infill Strut Capacities (Weak) (Bertoldi et al., 1993)</t>
  </si>
  <si>
    <t>ksys,i [kN/m]</t>
  </si>
  <si>
    <t>Corner crushing / Column</t>
  </si>
  <si>
    <t>Diagonal failure / Column</t>
  </si>
  <si>
    <t>Diagonal failure / Mixed</t>
  </si>
  <si>
    <t>VRin,6 [kN]</t>
  </si>
  <si>
    <t>VRin,5 [kN]</t>
  </si>
  <si>
    <t>VRin,4 [kN]</t>
  </si>
  <si>
    <t>VRin,3 [kN]</t>
  </si>
  <si>
    <t>VRin,2 [kN]</t>
  </si>
  <si>
    <t>VRin,1 [kN]</t>
  </si>
  <si>
    <t>Vinf,i [kN]</t>
  </si>
  <si>
    <t>Vfr,i [kN]</t>
  </si>
  <si>
    <t>Vfr,i/VRfr,i</t>
  </si>
  <si>
    <t>Vinf,i/VRinf,i</t>
  </si>
  <si>
    <t>VRfr,i [kN]</t>
  </si>
  <si>
    <t>VRinf,i [kN]</t>
  </si>
  <si>
    <t>DS1</t>
  </si>
  <si>
    <t>DS2</t>
  </si>
  <si>
    <t>DS3</t>
  </si>
  <si>
    <t>DS4</t>
  </si>
  <si>
    <t>Force</t>
  </si>
  <si>
    <t>LS Ctrl.</t>
  </si>
  <si>
    <t>Change Limit States of the infill walls at each storey between 1, 2, 3, 4 to update infill contribution</t>
  </si>
  <si>
    <t>Infill Properties</t>
  </si>
  <si>
    <t>Sullivan et al. , 2018</t>
  </si>
  <si>
    <t>Horizontal Yield Drift and Flexural Capacities (Weak)</t>
  </si>
  <si>
    <t>My+ (kNm)</t>
  </si>
  <si>
    <t>My- (kNm)</t>
  </si>
  <si>
    <t>Mu+ (kNm)</t>
  </si>
  <si>
    <t>Mu- (kNm)</t>
  </si>
  <si>
    <t>Mc+ (kNm)</t>
  </si>
  <si>
    <t>Mc- (kNm)</t>
  </si>
  <si>
    <t>Yield Moments at the end of Column Sections</t>
  </si>
  <si>
    <t>Capping Moments at the end of Column Sections</t>
  </si>
  <si>
    <t>Ultimate Moments at the end of Column Sections</t>
  </si>
  <si>
    <t>Elevation</t>
  </si>
  <si>
    <t>Displaced Shapes (OpenSees)</t>
  </si>
  <si>
    <t>θfr,i [rad]</t>
  </si>
  <si>
    <t>MRθfr,i [kN]</t>
  </si>
  <si>
    <t>MRfr,i [kN]</t>
  </si>
  <si>
    <t>MRinf,i [kN]</t>
  </si>
  <si>
    <t>MRθinf,i [kN]</t>
  </si>
  <si>
    <t>θinf,i [rad]</t>
  </si>
  <si>
    <t>VRsys,i [kN]</t>
  </si>
  <si>
    <t>N.A.</t>
  </si>
  <si>
    <t>Str. Stiffness [kN/m]</t>
  </si>
  <si>
    <t>DBA</t>
  </si>
  <si>
    <t>Pushover Curve (DBA)</t>
  </si>
  <si>
    <t>Error (%)</t>
  </si>
  <si>
    <t>Kel* [kN/m]</t>
  </si>
  <si>
    <t>Kelc [kN/m]</t>
  </si>
  <si>
    <t>Kp-yc [kN/m]</t>
  </si>
  <si>
    <t>Stiffness</t>
  </si>
  <si>
    <t>Kin,6 [kN/m]</t>
  </si>
  <si>
    <t>Kin,5 [kN/m]</t>
  </si>
  <si>
    <t>Kin,4 [kN/m]</t>
  </si>
  <si>
    <t>Kin,3 [kN/m]</t>
  </si>
  <si>
    <t>Kin,2 [kN/m]</t>
  </si>
  <si>
    <t>Kin,1 [kN/m]</t>
  </si>
  <si>
    <t>span,i [m]</t>
  </si>
  <si>
    <t>Supporting Beam Tensile Stiffness</t>
  </si>
  <si>
    <t>Ksec* [kN/m]</t>
  </si>
  <si>
    <t>Stiffness Contribution Ratio</t>
  </si>
  <si>
    <t>Kelh.* [kN/m]</t>
  </si>
  <si>
    <t>Kdegh.* [kN/m]</t>
  </si>
  <si>
    <t>Kdeg* [kN/m]</t>
  </si>
  <si>
    <t>Combined Storey Stiffness and Resistances</t>
  </si>
  <si>
    <t>Infill Cont. (kN/m)</t>
  </si>
  <si>
    <t>Frame Cont. (kN/m)</t>
  </si>
  <si>
    <t>Proposed</t>
  </si>
  <si>
    <t>error (%)</t>
  </si>
  <si>
    <t>εDS1</t>
  </si>
  <si>
    <t>εDS2</t>
  </si>
  <si>
    <t>εDS3</t>
  </si>
  <si>
    <t>2nd iteration</t>
  </si>
  <si>
    <t>3rd iteration</t>
  </si>
  <si>
    <t>4th iteration</t>
  </si>
  <si>
    <t>5th iteration</t>
  </si>
  <si>
    <t>6th iteration</t>
  </si>
  <si>
    <t>Column 4</t>
  </si>
  <si>
    <t>Strut 1</t>
  </si>
  <si>
    <t>Strut 2</t>
  </si>
  <si>
    <t>Strut 3</t>
  </si>
  <si>
    <t>Column 2a</t>
  </si>
  <si>
    <t>Column 2b</t>
  </si>
  <si>
    <t>Column 3a</t>
  </si>
  <si>
    <t>Column 3b</t>
  </si>
  <si>
    <t>Axial Stiffness: Unit Horizontal Displacements (m)</t>
  </si>
  <si>
    <t>System Capacity Information</t>
  </si>
  <si>
    <t>θframe,i [rad]</t>
  </si>
  <si>
    <t>θinfill,i [rad]</t>
  </si>
  <si>
    <t>θD1inf,i [rad]</t>
  </si>
  <si>
    <t>Div. Vb by</t>
  </si>
  <si>
    <t>&lt;---Iterate</t>
  </si>
  <si>
    <t>Storey Disp. (m)</t>
  </si>
  <si>
    <t>Base Shear (kN)</t>
  </si>
  <si>
    <t>K2 (kN/m)</t>
  </si>
  <si>
    <t>K3 (kN/m)</t>
  </si>
  <si>
    <t>Const.</t>
  </si>
  <si>
    <t>Load Factor</t>
  </si>
  <si>
    <t>LF :</t>
  </si>
  <si>
    <t xml:space="preserve">LF: </t>
  </si>
  <si>
    <t>7th Point of the Pushover Curve</t>
  </si>
  <si>
    <t>8th Point of the Pushover Curve</t>
  </si>
  <si>
    <t>9th Point of the Pushover Curve</t>
  </si>
  <si>
    <t>10th Point of the Pushover Curve</t>
  </si>
  <si>
    <t>Column Moment Capacities (O'Reilly &amp; Sullivan, 2017)</t>
  </si>
  <si>
    <t>Beam Moment Capacities (O'Reilly &amp; Sullivan, 2017)</t>
  </si>
  <si>
    <t>Beam Deformation Capacities (O'Reilly &amp; Sullivan, 2017)</t>
  </si>
  <si>
    <t>Column Deformation Capacities (O'Reilly &amp; Sullivan, 2017)</t>
  </si>
  <si>
    <t>Muu+ (kNm)</t>
  </si>
  <si>
    <t>Muu- (kNm)</t>
  </si>
  <si>
    <t>B. Infill Control</t>
  </si>
  <si>
    <t>Notes:</t>
  </si>
  <si>
    <t>C. Frame Control</t>
  </si>
  <si>
    <t>A. Structural Response</t>
  </si>
  <si>
    <t>Residual Moments at the end of Column Sections</t>
  </si>
  <si>
    <t>θc,i [rad]</t>
  </si>
  <si>
    <t>θu,i [rad]</t>
  </si>
  <si>
    <t>Normalized Shapes</t>
  </si>
  <si>
    <t>K, 6 [kN/m]</t>
  </si>
  <si>
    <t>K, 5 [kN/m]</t>
  </si>
  <si>
    <t>K, 4 [kN/m]</t>
  </si>
  <si>
    <t>K, 3 [kN/m]</t>
  </si>
  <si>
    <t>K, 2 [kN/m]</t>
  </si>
  <si>
    <t>K, 1 [kN/m]</t>
  </si>
  <si>
    <t>Mean Horz. Shear Resist. (Infill-Strut System)</t>
  </si>
  <si>
    <t>Mean Horizontal Stiffness (Infill-Strut System)</t>
  </si>
  <si>
    <t>Mean Damage State Drift Limit (Inf.-Str. Sys.)</t>
  </si>
  <si>
    <t>Mean Damage State Drift Limit</t>
  </si>
  <si>
    <t>Mean Horzizontal Shear Resistance</t>
  </si>
  <si>
    <t>Mean Flexural Stiffness</t>
  </si>
  <si>
    <t>Drift</t>
  </si>
  <si>
    <t>OpenSees</t>
  </si>
  <si>
    <t>ν (axial load ratio)</t>
  </si>
  <si>
    <t>Ductility</t>
  </si>
  <si>
    <t>Mean Damage State Ductility Limit</t>
  </si>
  <si>
    <t>Mean Damage State Ductility Limit (Inf.-Str. Sys.)</t>
  </si>
  <si>
    <t xml:space="preserve">θin,1 </t>
  </si>
  <si>
    <t xml:space="preserve">θin,2 </t>
  </si>
  <si>
    <t xml:space="preserve">θin,3 </t>
  </si>
  <si>
    <t xml:space="preserve">θin,4 </t>
  </si>
  <si>
    <t xml:space="preserve">θin,5 </t>
  </si>
  <si>
    <t xml:space="preserve">θin,6 </t>
  </si>
  <si>
    <t>Linear</t>
  </si>
  <si>
    <t>Shear Frame</t>
  </si>
  <si>
    <t>Pick:</t>
  </si>
  <si>
    <t>Guessed Shape Control</t>
  </si>
  <si>
    <t>θD1fr,i [rad]</t>
  </si>
  <si>
    <t>Lp (m)</t>
  </si>
  <si>
    <t>VR,6 [kN]</t>
  </si>
  <si>
    <t>VR,5 [kN]</t>
  </si>
  <si>
    <t>VR,4 [kN]</t>
  </si>
  <si>
    <t>VR,3 [kN]</t>
  </si>
  <si>
    <t>VR,2 [kN]</t>
  </si>
  <si>
    <t>VR,1 [kN]</t>
  </si>
  <si>
    <t xml:space="preserve">θ,6 </t>
  </si>
  <si>
    <t xml:space="preserve">θ,5 </t>
  </si>
  <si>
    <t xml:space="preserve">θ,4 </t>
  </si>
  <si>
    <t xml:space="preserve">θ,3 </t>
  </si>
  <si>
    <t xml:space="preserve">θ,2 </t>
  </si>
  <si>
    <t xml:space="preserve">θ,1 </t>
  </si>
  <si>
    <t>θc [rad] :</t>
  </si>
  <si>
    <t>Custom</t>
  </si>
  <si>
    <t>Guess Control (1-2)</t>
  </si>
  <si>
    <t>Custom Shape (3)</t>
  </si>
  <si>
    <t>Kinit,i [kN/m]</t>
  </si>
  <si>
    <t>Ki [kN/m]</t>
  </si>
  <si>
    <t>DSi 1</t>
  </si>
  <si>
    <t>DSi 2</t>
  </si>
  <si>
    <t>DSf 1</t>
  </si>
  <si>
    <t>DSf 2</t>
  </si>
  <si>
    <t>DSi 3</t>
  </si>
  <si>
    <t>DSf 3</t>
  </si>
  <si>
    <t>DSi 4</t>
  </si>
  <si>
    <t>L.S. Point</t>
  </si>
  <si>
    <t>Storey 1</t>
  </si>
  <si>
    <t>Storey 2</t>
  </si>
  <si>
    <t>Storey 3</t>
  </si>
  <si>
    <t>Storey 4</t>
  </si>
  <si>
    <t>Storey 5</t>
  </si>
  <si>
    <t>Storey 6</t>
  </si>
  <si>
    <t>Table of Behavior Hierarchy</t>
  </si>
  <si>
    <t>Table of Behavior Hierarchy (cont')</t>
  </si>
  <si>
    <t>Keff. [kN/m]</t>
  </si>
  <si>
    <t>Teff. (sec.)</t>
  </si>
  <si>
    <t>meff. [tons]</t>
  </si>
  <si>
    <t>11th Point of the Pushover Curve</t>
  </si>
  <si>
    <t>12th Point of the Pushover Curve</t>
  </si>
  <si>
    <t>13th Point of the Pushover Curve</t>
  </si>
  <si>
    <t>14th Point of the Pushover Curve</t>
  </si>
  <si>
    <t>15th Point of the Pushover Curve</t>
  </si>
  <si>
    <t>16th Point of the Pushover Curve</t>
  </si>
  <si>
    <t>17th Point of the Pushover Curve</t>
  </si>
  <si>
    <t>18th Point of the Pushover Curve</t>
  </si>
  <si>
    <t>19th Point of the Pushover Curve</t>
  </si>
  <si>
    <t>20th Point of the Pushover Curve</t>
  </si>
  <si>
    <t>Vtrue [kN]</t>
  </si>
  <si>
    <t>= 0.85</t>
  </si>
  <si>
    <t>Height</t>
  </si>
  <si>
    <t>Norm. Force</t>
  </si>
  <si>
    <t>Force (kN)</t>
  </si>
  <si>
    <t>F/Vb</t>
  </si>
  <si>
    <t>μφu</t>
  </si>
  <si>
    <t>μφc</t>
  </si>
  <si>
    <t>φuu- (1/m)</t>
  </si>
  <si>
    <t>φuu+ (1/m)</t>
  </si>
  <si>
    <t>φu- (1/m)</t>
  </si>
  <si>
    <t>φu+ (1/m)</t>
  </si>
  <si>
    <t>φc- (1/m)</t>
  </si>
  <si>
    <t>φc+ (1/m)</t>
  </si>
  <si>
    <t>φy- (1/m)</t>
  </si>
  <si>
    <t>φy+ (1/m)</t>
  </si>
  <si>
    <t>Boundary Column Axial Stiffness</t>
  </si>
  <si>
    <t>Ktrueh.* [kN/m]</t>
  </si>
  <si>
    <t>Ktrue* [kN/m]</t>
  </si>
  <si>
    <t>Horizontal Force Matrix</t>
  </si>
  <si>
    <t>Structure</t>
  </si>
  <si>
    <t>Storey No.</t>
  </si>
  <si>
    <t>Bay No.</t>
  </si>
  <si>
    <t>Col. No.</t>
  </si>
  <si>
    <t>Span [m]</t>
  </si>
  <si>
    <t>Cumul.</t>
  </si>
  <si>
    <t>2a</t>
  </si>
  <si>
    <t>2b</t>
  </si>
  <si>
    <t>3a</t>
  </si>
  <si>
    <t>3b</t>
  </si>
  <si>
    <t>Storey Shear Resistance and Stiffness (Weak Single Infill)</t>
  </si>
  <si>
    <t>WeakSingle</t>
  </si>
  <si>
    <t>Truss Stiff. 4 [kN/m]</t>
  </si>
  <si>
    <t>Storey Stiffnesses (OpenSees)</t>
  </si>
  <si>
    <t>Load Coeff.</t>
  </si>
  <si>
    <t>Cumul. L. Coeff.</t>
  </si>
  <si>
    <t>K1 (kN/m)</t>
  </si>
  <si>
    <t>Structure Stiffness (kN/m)</t>
  </si>
  <si>
    <t>Mj,iθy,I [kNmrad]</t>
  </si>
  <si>
    <t>Mj,iθc,I [kNmrad]</t>
  </si>
  <si>
    <t>Mj,iθu,I [kNmrad]</t>
  </si>
  <si>
    <t>μ, 6</t>
  </si>
  <si>
    <t>μ, 5</t>
  </si>
  <si>
    <t>μ, 4</t>
  </si>
  <si>
    <t>μ, 3</t>
  </si>
  <si>
    <t>μ, 2</t>
  </si>
  <si>
    <t>μ, 1</t>
  </si>
  <si>
    <t>DS5</t>
  </si>
  <si>
    <t>Shear Resistance, Yield Drift and Stiffness</t>
  </si>
  <si>
    <t>Storey Shear Resistance and Stiffness</t>
  </si>
  <si>
    <t>Axial-Horizontal Storey Stiffnesses (kN/m)</t>
  </si>
  <si>
    <t>Kcr. [kN/m]</t>
  </si>
  <si>
    <t>Kel. [kN/m]</t>
  </si>
  <si>
    <t>DSf 4</t>
  </si>
  <si>
    <t>DSf 5</t>
  </si>
  <si>
    <t>Initial</t>
  </si>
  <si>
    <t>μin,6</t>
  </si>
  <si>
    <t>μin,5</t>
  </si>
  <si>
    <t>μin,4</t>
  </si>
  <si>
    <t>μin,3</t>
  </si>
  <si>
    <t>μin,2</t>
  </si>
  <si>
    <t>μin,1</t>
  </si>
  <si>
    <t>ΔV</t>
  </si>
  <si>
    <t>μfr,i</t>
  </si>
  <si>
    <t>μinf,i</t>
  </si>
  <si>
    <t>No.</t>
  </si>
  <si>
    <t>Horizontal Force Vector</t>
  </si>
  <si>
    <t>LFf,i [kN]</t>
  </si>
  <si>
    <t>F,i [kN]</t>
  </si>
  <si>
    <t>LFv,i [kN]</t>
  </si>
  <si>
    <t>V,i [kN]</t>
  </si>
  <si>
    <t>N.Stry</t>
  </si>
  <si>
    <t>ΔV,k-1</t>
  </si>
  <si>
    <r>
      <rPr>
        <b/>
        <sz val="12"/>
        <color rgb="FFFF0000"/>
        <rFont val="Calibri"/>
        <family val="2"/>
      </rPr>
      <t>Δ</t>
    </r>
    <r>
      <rPr>
        <b/>
        <sz val="12"/>
        <color rgb="FFFF0000"/>
        <rFont val="Times New Roman"/>
        <family val="1"/>
      </rPr>
      <t>disp (mm)</t>
    </r>
  </si>
  <si>
    <t>step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</si>
</sst>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"/>
    <numFmt numFmtId="166" formatCode="0.00000"/>
    <numFmt numFmtId="167" formatCode="0.000"/>
    <numFmt numFmtId="168" formatCode="0.0"/>
    <numFmt numFmtId="169" formatCode="0.0000000"/>
  </numFmts>
  <fonts count="2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4" tint="-0.249977111117893"/>
      <name val="Times New Roman"/>
      <family val="1"/>
    </font>
    <font>
      <sz val="12"/>
      <color theme="8" tint="-0.249977111117893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b/>
      <sz val="12"/>
      <color theme="8" tint="-0.249977111117893"/>
      <name val="Times New Roman"/>
      <family val="1"/>
    </font>
    <font>
      <b/>
      <i/>
      <sz val="12"/>
      <color theme="8" tint="-0.249977111117893"/>
      <name val="Times New Roman"/>
      <family val="1"/>
    </font>
    <font>
      <sz val="12"/>
      <color rgb="FFC00000"/>
      <name val="Times New Roman"/>
      <family val="1"/>
    </font>
    <font>
      <sz val="12"/>
      <color theme="5" tint="-0.249977111117893"/>
      <name val="Times New Roman"/>
      <family val="1"/>
    </font>
    <font>
      <sz val="12"/>
      <color theme="7" tint="-0.499984740745262"/>
      <name val="Times New Roman"/>
      <family val="1"/>
    </font>
    <font>
      <sz val="12"/>
      <color theme="4" tint="-0.499984740745262"/>
      <name val="Times New Roman"/>
      <family val="1"/>
    </font>
    <font>
      <b/>
      <sz val="12"/>
      <color theme="0" tint="-0.14999847407452621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2"/>
      <color theme="0" tint="-0.14999847407452621"/>
      <name val="Times New Roman"/>
      <family val="1"/>
    </font>
    <font>
      <sz val="12"/>
      <color rgb="FF00B0F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2"/>
      <color rgb="FFFF0000"/>
      <name val="Times New Roman"/>
      <family val="2"/>
    </font>
    <font>
      <b/>
      <sz val="12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ck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ck">
        <color indexed="64"/>
      </diagonal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3">
    <xf numFmtId="0" fontId="0" fillId="0" borderId="0" xfId="0"/>
    <xf numFmtId="0" fontId="1" fillId="0" borderId="0" xfId="0" applyFont="1"/>
    <xf numFmtId="0" fontId="1" fillId="12" borderId="42" xfId="0" applyFont="1" applyFill="1" applyBorder="1" applyAlignment="1">
      <alignment horizontal="center" vertical="center" wrapText="1"/>
    </xf>
    <xf numFmtId="0" fontId="1" fillId="23" borderId="49" xfId="0" applyFont="1" applyFill="1" applyBorder="1" applyAlignment="1">
      <alignment horizontal="center" vertical="center" wrapText="1"/>
    </xf>
    <xf numFmtId="0" fontId="1" fillId="2" borderId="0" xfId="0" applyFont="1" applyFill="1"/>
    <xf numFmtId="0" fontId="3" fillId="18" borderId="62" xfId="0" applyFont="1" applyFill="1" applyBorder="1" applyAlignment="1">
      <alignment horizontal="center" vertical="center" wrapText="1"/>
    </xf>
    <xf numFmtId="0" fontId="4" fillId="0" borderId="0" xfId="0" applyFont="1"/>
    <xf numFmtId="0" fontId="4" fillId="2" borderId="13" xfId="0" applyFont="1" applyFill="1" applyBorder="1"/>
    <xf numFmtId="0" fontId="4" fillId="2" borderId="12" xfId="0" applyFont="1" applyFill="1" applyBorder="1"/>
    <xf numFmtId="0" fontId="1" fillId="0" borderId="3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74" xfId="0" applyNumberFormat="1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17" xfId="0" applyNumberFormat="1" applyFont="1" applyBorder="1" applyAlignment="1">
      <alignment horizontal="center" vertical="center"/>
    </xf>
    <xf numFmtId="166" fontId="4" fillId="0" borderId="23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2" fontId="4" fillId="0" borderId="2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1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 vertical="center"/>
    </xf>
    <xf numFmtId="1" fontId="1" fillId="0" borderId="74" xfId="0" applyNumberFormat="1" applyFont="1" applyBorder="1" applyAlignment="1">
      <alignment horizontal="center"/>
    </xf>
    <xf numFmtId="1" fontId="1" fillId="0" borderId="3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5" xfId="0" applyNumberFormat="1" applyFont="1" applyBorder="1" applyAlignment="1">
      <alignment horizontal="center" vertical="center"/>
    </xf>
    <xf numFmtId="166" fontId="4" fillId="0" borderId="36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/>
    </xf>
    <xf numFmtId="2" fontId="4" fillId="0" borderId="36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/>
    </xf>
    <xf numFmtId="0" fontId="4" fillId="2" borderId="0" xfId="0" applyFont="1" applyFill="1"/>
    <xf numFmtId="0" fontId="4" fillId="2" borderId="11" xfId="0" applyFont="1" applyFill="1" applyBorder="1"/>
    <xf numFmtId="0" fontId="4" fillId="2" borderId="2" xfId="0" applyFont="1" applyFill="1" applyBorder="1"/>
    <xf numFmtId="0" fontId="4" fillId="2" borderId="15" xfId="0" applyFont="1" applyFill="1" applyBorder="1"/>
    <xf numFmtId="0" fontId="3" fillId="0" borderId="2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74" xfId="0" applyFont="1" applyBorder="1" applyAlignment="1">
      <alignment horizontal="center"/>
    </xf>
    <xf numFmtId="0" fontId="8" fillId="18" borderId="12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8" fillId="18" borderId="15" xfId="0" applyFont="1" applyFill="1" applyBorder="1" applyAlignment="1">
      <alignment horizontal="center" vertical="center"/>
    </xf>
    <xf numFmtId="2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4" fillId="0" borderId="0" xfId="0" applyFont="1" applyBorder="1"/>
    <xf numFmtId="0" fontId="1" fillId="0" borderId="0" xfId="0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23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36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9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/>
    </xf>
    <xf numFmtId="2" fontId="4" fillId="0" borderId="14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2" fontId="4" fillId="0" borderId="4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8" fontId="4" fillId="0" borderId="17" xfId="0" applyNumberFormat="1" applyFont="1" applyBorder="1" applyAlignment="1">
      <alignment horizontal="center" vertical="center"/>
    </xf>
    <xf numFmtId="168" fontId="4" fillId="0" borderId="23" xfId="0" applyNumberFormat="1" applyFont="1" applyBorder="1" applyAlignment="1">
      <alignment horizontal="center" vertical="center"/>
    </xf>
    <xf numFmtId="168" fontId="4" fillId="0" borderId="17" xfId="0" applyNumberFormat="1" applyFont="1" applyBorder="1" applyAlignment="1">
      <alignment horizontal="center"/>
    </xf>
    <xf numFmtId="168" fontId="4" fillId="0" borderId="23" xfId="0" applyNumberFormat="1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2" xfId="0" applyFont="1" applyBorder="1"/>
    <xf numFmtId="2" fontId="4" fillId="10" borderId="20" xfId="0" applyNumberFormat="1" applyFont="1" applyFill="1" applyBorder="1" applyAlignment="1">
      <alignment horizontal="center" vertical="center"/>
    </xf>
    <xf numFmtId="2" fontId="4" fillId="10" borderId="21" xfId="0" applyNumberFormat="1" applyFont="1" applyFill="1" applyBorder="1" applyAlignment="1">
      <alignment horizontal="center" vertical="center"/>
    </xf>
    <xf numFmtId="2" fontId="4" fillId="31" borderId="22" xfId="0" applyNumberFormat="1" applyFont="1" applyFill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4" fillId="31" borderId="21" xfId="0" applyNumberFormat="1" applyFont="1" applyFill="1" applyBorder="1" applyAlignment="1">
      <alignment horizontal="center" vertical="center"/>
    </xf>
    <xf numFmtId="2" fontId="11" fillId="0" borderId="59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2" fontId="4" fillId="0" borderId="21" xfId="0" applyNumberFormat="1" applyFont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164" fontId="4" fillId="0" borderId="21" xfId="0" applyNumberFormat="1" applyFont="1" applyBorder="1" applyAlignment="1">
      <alignment horizontal="center"/>
    </xf>
    <xf numFmtId="164" fontId="4" fillId="31" borderId="20" xfId="0" applyNumberFormat="1" applyFont="1" applyFill="1" applyBorder="1" applyAlignment="1">
      <alignment horizontal="center" vertical="center"/>
    </xf>
    <xf numFmtId="164" fontId="4" fillId="31" borderId="22" xfId="0" applyNumberFormat="1" applyFont="1" applyFill="1" applyBorder="1" applyAlignment="1">
      <alignment horizontal="center"/>
    </xf>
    <xf numFmtId="164" fontId="4" fillId="32" borderId="21" xfId="0" applyNumberFormat="1" applyFont="1" applyFill="1" applyBorder="1" applyAlignment="1">
      <alignment horizontal="center" vertical="center"/>
    </xf>
    <xf numFmtId="2" fontId="4" fillId="32" borderId="21" xfId="0" applyNumberFormat="1" applyFont="1" applyFill="1" applyBorder="1" applyAlignment="1">
      <alignment horizontal="center" vertical="center"/>
    </xf>
    <xf numFmtId="164" fontId="4" fillId="32" borderId="21" xfId="0" applyNumberFormat="1" applyFont="1" applyFill="1" applyBorder="1" applyAlignment="1">
      <alignment horizontal="center"/>
    </xf>
    <xf numFmtId="164" fontId="4" fillId="21" borderId="20" xfId="0" applyNumberFormat="1" applyFont="1" applyFill="1" applyBorder="1" applyAlignment="1">
      <alignment horizontal="center" vertical="center"/>
    </xf>
    <xf numFmtId="2" fontId="4" fillId="21" borderId="21" xfId="0" applyNumberFormat="1" applyFont="1" applyFill="1" applyBorder="1" applyAlignment="1">
      <alignment horizontal="center" vertical="center"/>
    </xf>
    <xf numFmtId="164" fontId="4" fillId="21" borderId="65" xfId="0" applyNumberFormat="1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2" fontId="4" fillId="31" borderId="18" xfId="0" applyNumberFormat="1" applyFont="1" applyFill="1" applyBorder="1" applyAlignment="1">
      <alignment horizontal="center" vertical="center"/>
    </xf>
    <xf numFmtId="2" fontId="4" fillId="31" borderId="19" xfId="0" applyNumberFormat="1" applyFont="1" applyFill="1" applyBorder="1" applyAlignment="1">
      <alignment horizontal="center" vertical="center"/>
    </xf>
    <xf numFmtId="2" fontId="4" fillId="31" borderId="24" xfId="0" applyNumberFormat="1" applyFont="1" applyFill="1" applyBorder="1" applyAlignment="1">
      <alignment horizontal="center" vertical="center"/>
    </xf>
    <xf numFmtId="2" fontId="4" fillId="10" borderId="18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31" borderId="17" xfId="0" applyNumberFormat="1" applyFont="1" applyFill="1" applyBorder="1" applyAlignment="1">
      <alignment horizontal="center" vertical="center"/>
    </xf>
    <xf numFmtId="2" fontId="4" fillId="31" borderId="0" xfId="0" applyNumberFormat="1" applyFont="1" applyFill="1" applyBorder="1" applyAlignment="1">
      <alignment horizontal="center" vertical="center"/>
    </xf>
    <xf numFmtId="164" fontId="4" fillId="31" borderId="23" xfId="0" applyNumberFormat="1" applyFont="1" applyFill="1" applyBorder="1" applyAlignment="1">
      <alignment horizontal="center"/>
    </xf>
    <xf numFmtId="164" fontId="4" fillId="32" borderId="0" xfId="0" applyNumberFormat="1" applyFont="1" applyFill="1" applyBorder="1" applyAlignment="1">
      <alignment horizontal="center" vertical="center"/>
    </xf>
    <xf numFmtId="2" fontId="4" fillId="32" borderId="0" xfId="0" applyNumberFormat="1" applyFont="1" applyFill="1" applyBorder="1" applyAlignment="1">
      <alignment horizontal="center" vertical="center"/>
    </xf>
    <xf numFmtId="164" fontId="4" fillId="32" borderId="0" xfId="0" applyNumberFormat="1" applyFont="1" applyFill="1" applyBorder="1" applyAlignment="1">
      <alignment horizontal="center"/>
    </xf>
    <xf numFmtId="164" fontId="4" fillId="21" borderId="17" xfId="0" applyNumberFormat="1" applyFont="1" applyFill="1" applyBorder="1" applyAlignment="1">
      <alignment horizontal="center" vertical="center"/>
    </xf>
    <xf numFmtId="2" fontId="4" fillId="21" borderId="0" xfId="0" applyNumberFormat="1" applyFont="1" applyFill="1" applyBorder="1" applyAlignment="1">
      <alignment horizontal="center" vertical="center"/>
    </xf>
    <xf numFmtId="164" fontId="4" fillId="21" borderId="12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164" fontId="4" fillId="0" borderId="19" xfId="0" applyNumberFormat="1" applyFont="1" applyBorder="1" applyAlignment="1">
      <alignment horizontal="center"/>
    </xf>
    <xf numFmtId="164" fontId="4" fillId="31" borderId="18" xfId="0" applyNumberFormat="1" applyFont="1" applyFill="1" applyBorder="1" applyAlignment="1">
      <alignment horizontal="center" vertical="center"/>
    </xf>
    <xf numFmtId="164" fontId="4" fillId="31" borderId="24" xfId="0" applyNumberFormat="1" applyFont="1" applyFill="1" applyBorder="1" applyAlignment="1">
      <alignment horizontal="center"/>
    </xf>
    <xf numFmtId="164" fontId="4" fillId="32" borderId="19" xfId="0" applyNumberFormat="1" applyFont="1" applyFill="1" applyBorder="1" applyAlignment="1">
      <alignment horizontal="center" vertical="center"/>
    </xf>
    <xf numFmtId="2" fontId="4" fillId="32" borderId="19" xfId="0" applyNumberFormat="1" applyFont="1" applyFill="1" applyBorder="1" applyAlignment="1">
      <alignment horizontal="center" vertical="center"/>
    </xf>
    <xf numFmtId="164" fontId="4" fillId="32" borderId="19" xfId="0" applyNumberFormat="1" applyFont="1" applyFill="1" applyBorder="1" applyAlignment="1">
      <alignment horizontal="center"/>
    </xf>
    <xf numFmtId="164" fontId="4" fillId="21" borderId="18" xfId="0" applyNumberFormat="1" applyFont="1" applyFill="1" applyBorder="1" applyAlignment="1">
      <alignment horizontal="center" vertical="center"/>
    </xf>
    <xf numFmtId="2" fontId="4" fillId="21" borderId="19" xfId="0" applyNumberFormat="1" applyFont="1" applyFill="1" applyBorder="1" applyAlignment="1">
      <alignment horizontal="center" vertical="center"/>
    </xf>
    <xf numFmtId="164" fontId="4" fillId="21" borderId="62" xfId="0" applyNumberFormat="1" applyFont="1" applyFill="1" applyBorder="1" applyAlignment="1">
      <alignment horizontal="center"/>
    </xf>
    <xf numFmtId="164" fontId="4" fillId="10" borderId="17" xfId="0" applyNumberFormat="1" applyFont="1" applyFill="1" applyBorder="1" applyAlignment="1">
      <alignment horizontal="center" vertical="center"/>
    </xf>
    <xf numFmtId="2" fontId="4" fillId="10" borderId="0" xfId="0" applyNumberFormat="1" applyFont="1" applyFill="1" applyBorder="1" applyAlignment="1">
      <alignment horizontal="center" vertical="center"/>
    </xf>
    <xf numFmtId="164" fontId="4" fillId="10" borderId="23" xfId="0" applyNumberFormat="1" applyFont="1" applyFill="1" applyBorder="1" applyAlignment="1">
      <alignment horizontal="center"/>
    </xf>
    <xf numFmtId="164" fontId="4" fillId="10" borderId="21" xfId="0" applyNumberFormat="1" applyFont="1" applyFill="1" applyBorder="1" applyAlignment="1">
      <alignment horizontal="center" vertical="center"/>
    </xf>
    <xf numFmtId="164" fontId="4" fillId="10" borderId="0" xfId="0" applyNumberFormat="1" applyFont="1" applyFill="1" applyBorder="1" applyAlignment="1">
      <alignment horizontal="center"/>
    </xf>
    <xf numFmtId="164" fontId="4" fillId="10" borderId="20" xfId="0" applyNumberFormat="1" applyFont="1" applyFill="1" applyBorder="1" applyAlignment="1">
      <alignment horizontal="center" vertical="center"/>
    </xf>
    <xf numFmtId="164" fontId="4" fillId="10" borderId="12" xfId="0" applyNumberFormat="1" applyFont="1" applyFill="1" applyBorder="1" applyAlignment="1">
      <alignment horizontal="center"/>
    </xf>
    <xf numFmtId="0" fontId="1" fillId="0" borderId="30" xfId="0" applyFont="1" applyBorder="1" applyAlignment="1">
      <alignment horizontal="center"/>
    </xf>
    <xf numFmtId="2" fontId="4" fillId="0" borderId="31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 vertical="center"/>
    </xf>
    <xf numFmtId="2" fontId="4" fillId="0" borderId="45" xfId="0" applyNumberFormat="1" applyFont="1" applyBorder="1" applyAlignment="1">
      <alignment horizontal="center" vertical="center"/>
    </xf>
    <xf numFmtId="168" fontId="4" fillId="0" borderId="18" xfId="0" applyNumberFormat="1" applyFont="1" applyBorder="1" applyAlignment="1">
      <alignment horizontal="center" vertical="center"/>
    </xf>
    <xf numFmtId="168" fontId="4" fillId="0" borderId="24" xfId="0" applyNumberFormat="1" applyFont="1" applyBorder="1" applyAlignment="1">
      <alignment horizontal="center" vertical="center"/>
    </xf>
    <xf numFmtId="168" fontId="4" fillId="0" borderId="18" xfId="0" applyNumberFormat="1" applyFont="1" applyBorder="1" applyAlignment="1">
      <alignment horizontal="center"/>
    </xf>
    <xf numFmtId="168" fontId="4" fillId="0" borderId="24" xfId="0" applyNumberFormat="1" applyFont="1" applyBorder="1" applyAlignment="1">
      <alignment horizontal="center"/>
    </xf>
    <xf numFmtId="168" fontId="4" fillId="0" borderId="19" xfId="0" applyNumberFormat="1" applyFont="1" applyBorder="1" applyAlignment="1">
      <alignment horizontal="center"/>
    </xf>
    <xf numFmtId="0" fontId="4" fillId="0" borderId="62" xfId="0" applyFont="1" applyBorder="1"/>
    <xf numFmtId="2" fontId="4" fillId="31" borderId="20" xfId="0" applyNumberFormat="1" applyFont="1" applyFill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 vertical="center"/>
    </xf>
    <xf numFmtId="168" fontId="4" fillId="0" borderId="22" xfId="0" applyNumberFormat="1" applyFont="1" applyBorder="1" applyAlignment="1">
      <alignment horizontal="center" vertical="center"/>
    </xf>
    <xf numFmtId="168" fontId="4" fillId="0" borderId="20" xfId="0" applyNumberFormat="1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168" fontId="4" fillId="0" borderId="21" xfId="0" applyNumberFormat="1" applyFont="1" applyBorder="1" applyAlignment="1">
      <alignment horizontal="center"/>
    </xf>
    <xf numFmtId="0" fontId="4" fillId="0" borderId="65" xfId="0" applyFont="1" applyBorder="1"/>
    <xf numFmtId="2" fontId="4" fillId="10" borderId="35" xfId="0" applyNumberFormat="1" applyFont="1" applyFill="1" applyBorder="1" applyAlignment="1">
      <alignment horizontal="center" vertical="center"/>
    </xf>
    <xf numFmtId="2" fontId="4" fillId="31" borderId="2" xfId="0" applyNumberFormat="1" applyFont="1" applyFill="1" applyBorder="1" applyAlignment="1">
      <alignment horizontal="center" vertical="center"/>
    </xf>
    <xf numFmtId="2" fontId="4" fillId="31" borderId="36" xfId="0" applyNumberFormat="1" applyFont="1" applyFill="1" applyBorder="1" applyAlignment="1">
      <alignment horizontal="center" vertical="center"/>
    </xf>
    <xf numFmtId="2" fontId="11" fillId="0" borderId="78" xfId="0" applyNumberFormat="1" applyFont="1" applyBorder="1" applyAlignment="1">
      <alignment horizontal="center" vertical="center"/>
    </xf>
    <xf numFmtId="2" fontId="4" fillId="31" borderId="35" xfId="0" applyNumberFormat="1" applyFont="1" applyFill="1" applyBorder="1" applyAlignment="1">
      <alignment horizontal="center" vertical="center"/>
    </xf>
    <xf numFmtId="2" fontId="11" fillId="0" borderId="60" xfId="0" applyNumberFormat="1" applyFont="1" applyBorder="1" applyAlignment="1">
      <alignment horizontal="center" vertical="center"/>
    </xf>
    <xf numFmtId="164" fontId="4" fillId="10" borderId="22" xfId="0" applyNumberFormat="1" applyFont="1" applyFill="1" applyBorder="1" applyAlignment="1">
      <alignment horizontal="center"/>
    </xf>
    <xf numFmtId="164" fontId="4" fillId="10" borderId="21" xfId="0" applyNumberFormat="1" applyFont="1" applyFill="1" applyBorder="1" applyAlignment="1">
      <alignment horizontal="center"/>
    </xf>
    <xf numFmtId="164" fontId="4" fillId="10" borderId="65" xfId="0" applyNumberFormat="1" applyFont="1" applyFill="1" applyBorder="1" applyAlignment="1">
      <alignment horizontal="center"/>
    </xf>
    <xf numFmtId="2" fontId="4" fillId="32" borderId="22" xfId="0" applyNumberFormat="1" applyFont="1" applyFill="1" applyBorder="1" applyAlignment="1">
      <alignment horizontal="center" vertical="center"/>
    </xf>
    <xf numFmtId="2" fontId="4" fillId="32" borderId="18" xfId="0" applyNumberFormat="1" applyFont="1" applyFill="1" applyBorder="1" applyAlignment="1">
      <alignment horizontal="center" vertical="center"/>
    </xf>
    <xf numFmtId="2" fontId="4" fillId="32" borderId="24" xfId="0" applyNumberFormat="1" applyFont="1" applyFill="1" applyBorder="1" applyAlignment="1">
      <alignment horizontal="center" vertical="center"/>
    </xf>
    <xf numFmtId="2" fontId="4" fillId="32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68" fontId="4" fillId="0" borderId="35" xfId="0" applyNumberFormat="1" applyFont="1" applyBorder="1" applyAlignment="1">
      <alignment horizontal="center" vertical="center"/>
    </xf>
    <xf numFmtId="168" fontId="4" fillId="0" borderId="36" xfId="0" applyNumberFormat="1" applyFont="1" applyBorder="1" applyAlignment="1">
      <alignment horizontal="center" vertical="center"/>
    </xf>
    <xf numFmtId="168" fontId="4" fillId="0" borderId="35" xfId="0" applyNumberFormat="1" applyFont="1" applyBorder="1" applyAlignment="1">
      <alignment horizontal="center"/>
    </xf>
    <xf numFmtId="168" fontId="4" fillId="0" borderId="36" xfId="0" applyNumberFormat="1" applyFont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4" fillId="0" borderId="15" xfId="0" applyFont="1" applyBorder="1"/>
    <xf numFmtId="2" fontId="4" fillId="32" borderId="2" xfId="0" applyNumberFormat="1" applyFont="1" applyFill="1" applyBorder="1" applyAlignment="1">
      <alignment horizontal="center" vertical="center"/>
    </xf>
    <xf numFmtId="2" fontId="4" fillId="32" borderId="36" xfId="0" applyNumberFormat="1" applyFont="1" applyFill="1" applyBorder="1" applyAlignment="1">
      <alignment horizontal="center" vertical="center"/>
    </xf>
    <xf numFmtId="2" fontId="4" fillId="32" borderId="35" xfId="0" applyNumberFormat="1" applyFont="1" applyFill="1" applyBorder="1" applyAlignment="1">
      <alignment horizontal="center" vertical="center"/>
    </xf>
    <xf numFmtId="164" fontId="4" fillId="31" borderId="0" xfId="0" applyNumberFormat="1" applyFont="1" applyFill="1" applyBorder="1" applyAlignment="1">
      <alignment horizontal="center"/>
    </xf>
    <xf numFmtId="164" fontId="4" fillId="32" borderId="17" xfId="0" applyNumberFormat="1" applyFont="1" applyFill="1" applyBorder="1" applyAlignment="1">
      <alignment horizontal="center" vertical="center"/>
    </xf>
    <xf numFmtId="164" fontId="4" fillId="32" borderId="12" xfId="0" applyNumberFormat="1" applyFont="1" applyFill="1" applyBorder="1" applyAlignment="1">
      <alignment horizontal="center"/>
    </xf>
    <xf numFmtId="164" fontId="4" fillId="32" borderId="18" xfId="0" applyNumberFormat="1" applyFont="1" applyFill="1" applyBorder="1" applyAlignment="1">
      <alignment horizontal="center" vertical="center"/>
    </xf>
    <xf numFmtId="164" fontId="4" fillId="32" borderId="24" xfId="0" applyNumberFormat="1" applyFont="1" applyFill="1" applyBorder="1" applyAlignment="1">
      <alignment horizontal="center"/>
    </xf>
    <xf numFmtId="2" fontId="4" fillId="0" borderId="12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7" fontId="4" fillId="0" borderId="23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/>
    </xf>
    <xf numFmtId="167" fontId="4" fillId="0" borderId="23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2" fontId="4" fillId="21" borderId="22" xfId="0" applyNumberFormat="1" applyFont="1" applyFill="1" applyBorder="1" applyAlignment="1">
      <alignment horizontal="center" vertical="center"/>
    </xf>
    <xf numFmtId="2" fontId="4" fillId="21" borderId="18" xfId="0" applyNumberFormat="1" applyFont="1" applyFill="1" applyBorder="1" applyAlignment="1">
      <alignment horizontal="center" vertical="center"/>
    </xf>
    <xf numFmtId="2" fontId="4" fillId="21" borderId="24" xfId="0" applyNumberFormat="1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/>
    </xf>
    <xf numFmtId="164" fontId="4" fillId="31" borderId="19" xfId="0" applyNumberFormat="1" applyFont="1" applyFill="1" applyBorder="1" applyAlignment="1">
      <alignment horizontal="center"/>
    </xf>
    <xf numFmtId="2" fontId="4" fillId="0" borderId="21" xfId="0" applyNumberFormat="1" applyFont="1" applyBorder="1" applyAlignment="1">
      <alignment horizontal="center"/>
    </xf>
    <xf numFmtId="2" fontId="4" fillId="0" borderId="15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/>
    </xf>
    <xf numFmtId="167" fontId="4" fillId="0" borderId="18" xfId="0" applyNumberFormat="1" applyFont="1" applyBorder="1" applyAlignment="1">
      <alignment horizontal="center" vertical="center"/>
    </xf>
    <xf numFmtId="167" fontId="4" fillId="0" borderId="24" xfId="0" applyNumberFormat="1" applyFont="1" applyBorder="1" applyAlignment="1">
      <alignment horizontal="center" vertical="center"/>
    </xf>
    <xf numFmtId="167" fontId="4" fillId="0" borderId="18" xfId="0" applyNumberFormat="1" applyFont="1" applyBorder="1" applyAlignment="1">
      <alignment horizontal="center"/>
    </xf>
    <xf numFmtId="167" fontId="4" fillId="0" borderId="24" xfId="0" applyNumberFormat="1" applyFont="1" applyBorder="1" applyAlignment="1">
      <alignment horizontal="center"/>
    </xf>
    <xf numFmtId="164" fontId="4" fillId="0" borderId="18" xfId="0" applyNumberFormat="1" applyFont="1" applyBorder="1" applyAlignment="1">
      <alignment horizontal="center"/>
    </xf>
    <xf numFmtId="164" fontId="4" fillId="0" borderId="62" xfId="0" applyNumberFormat="1" applyFont="1" applyBorder="1" applyAlignment="1">
      <alignment horizontal="center"/>
    </xf>
    <xf numFmtId="2" fontId="4" fillId="21" borderId="20" xfId="0" applyNumberFormat="1" applyFont="1" applyFill="1" applyBorder="1" applyAlignment="1">
      <alignment horizontal="center" vertical="center"/>
    </xf>
    <xf numFmtId="164" fontId="4" fillId="31" borderId="35" xfId="0" applyNumberFormat="1" applyFont="1" applyFill="1" applyBorder="1" applyAlignment="1">
      <alignment horizontal="center" vertical="center"/>
    </xf>
    <xf numFmtId="164" fontId="4" fillId="31" borderId="36" xfId="0" applyNumberFormat="1" applyFont="1" applyFill="1" applyBorder="1" applyAlignment="1">
      <alignment horizontal="center"/>
    </xf>
    <xf numFmtId="164" fontId="4" fillId="32" borderId="2" xfId="0" applyNumberFormat="1" applyFont="1" applyFill="1" applyBorder="1" applyAlignment="1">
      <alignment horizontal="center" vertical="center"/>
    </xf>
    <xf numFmtId="164" fontId="4" fillId="32" borderId="2" xfId="0" applyNumberFormat="1" applyFont="1" applyFill="1" applyBorder="1" applyAlignment="1">
      <alignment horizontal="center"/>
    </xf>
    <xf numFmtId="164" fontId="4" fillId="21" borderId="35" xfId="0" applyNumberFormat="1" applyFont="1" applyFill="1" applyBorder="1" applyAlignment="1">
      <alignment horizontal="center" vertical="center"/>
    </xf>
    <xf numFmtId="2" fontId="4" fillId="21" borderId="2" xfId="0" applyNumberFormat="1" applyFont="1" applyFill="1" applyBorder="1" applyAlignment="1">
      <alignment horizontal="center" vertical="center"/>
    </xf>
    <xf numFmtId="164" fontId="4" fillId="21" borderId="15" xfId="0" applyNumberFormat="1" applyFont="1" applyFill="1" applyBorder="1" applyAlignment="1">
      <alignment horizontal="center"/>
    </xf>
    <xf numFmtId="167" fontId="4" fillId="0" borderId="20" xfId="0" applyNumberFormat="1" applyFont="1" applyBorder="1" applyAlignment="1">
      <alignment horizontal="center" vertical="center"/>
    </xf>
    <xf numFmtId="167" fontId="4" fillId="0" borderId="22" xfId="0" applyNumberFormat="1" applyFont="1" applyBorder="1" applyAlignment="1">
      <alignment horizontal="center" vertical="center"/>
    </xf>
    <xf numFmtId="167" fontId="4" fillId="0" borderId="20" xfId="0" applyNumberFormat="1" applyFont="1" applyBorder="1" applyAlignment="1">
      <alignment horizontal="center"/>
    </xf>
    <xf numFmtId="167" fontId="4" fillId="0" borderId="22" xfId="0" applyNumberFormat="1" applyFont="1" applyBorder="1" applyAlignment="1">
      <alignment horizontal="center"/>
    </xf>
    <xf numFmtId="2" fontId="4" fillId="21" borderId="36" xfId="0" applyNumberFormat="1" applyFont="1" applyFill="1" applyBorder="1" applyAlignment="1">
      <alignment horizontal="center" vertical="center"/>
    </xf>
    <xf numFmtId="2" fontId="4" fillId="21" borderId="35" xfId="0" applyNumberFormat="1" applyFont="1" applyFill="1" applyBorder="1" applyAlignment="1">
      <alignment horizontal="center" vertical="center"/>
    </xf>
    <xf numFmtId="2" fontId="12" fillId="24" borderId="22" xfId="0" applyNumberFormat="1" applyFont="1" applyFill="1" applyBorder="1" applyAlignment="1">
      <alignment horizontal="center" vertical="center"/>
    </xf>
    <xf numFmtId="2" fontId="12" fillId="24" borderId="21" xfId="0" applyNumberFormat="1" applyFont="1" applyFill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/>
    </xf>
    <xf numFmtId="2" fontId="12" fillId="24" borderId="18" xfId="0" applyNumberFormat="1" applyFont="1" applyFill="1" applyBorder="1" applyAlignment="1">
      <alignment horizontal="center" vertical="center"/>
    </xf>
    <xf numFmtId="2" fontId="12" fillId="24" borderId="19" xfId="0" applyNumberFormat="1" applyFont="1" applyFill="1" applyBorder="1" applyAlignment="1">
      <alignment horizontal="center" vertical="center"/>
    </xf>
    <xf numFmtId="2" fontId="12" fillId="24" borderId="24" xfId="0" applyNumberFormat="1" applyFont="1" applyFill="1" applyBorder="1" applyAlignment="1">
      <alignment horizontal="center" vertical="center"/>
    </xf>
    <xf numFmtId="2" fontId="12" fillId="24" borderId="20" xfId="0" applyNumberFormat="1" applyFont="1" applyFill="1" applyBorder="1" applyAlignment="1">
      <alignment horizontal="center" vertical="center"/>
    </xf>
    <xf numFmtId="167" fontId="4" fillId="0" borderId="35" xfId="0" applyNumberFormat="1" applyFont="1" applyBorder="1" applyAlignment="1">
      <alignment horizontal="center" vertical="center"/>
    </xf>
    <xf numFmtId="167" fontId="4" fillId="0" borderId="36" xfId="0" applyNumberFormat="1" applyFont="1" applyBorder="1" applyAlignment="1">
      <alignment horizontal="center" vertical="center"/>
    </xf>
    <xf numFmtId="167" fontId="4" fillId="0" borderId="35" xfId="0" applyNumberFormat="1" applyFont="1" applyBorder="1" applyAlignment="1">
      <alignment horizontal="center"/>
    </xf>
    <xf numFmtId="167" fontId="4" fillId="0" borderId="36" xfId="0" applyNumberFormat="1" applyFont="1" applyBorder="1" applyAlignment="1">
      <alignment horizontal="center"/>
    </xf>
    <xf numFmtId="164" fontId="4" fillId="0" borderId="35" xfId="0" applyNumberFormat="1" applyFont="1" applyBorder="1" applyAlignment="1">
      <alignment horizontal="center"/>
    </xf>
    <xf numFmtId="2" fontId="12" fillId="24" borderId="2" xfId="0" applyNumberFormat="1" applyFont="1" applyFill="1" applyBorder="1" applyAlignment="1">
      <alignment horizontal="center" vertical="center"/>
    </xf>
    <xf numFmtId="2" fontId="12" fillId="24" borderId="36" xfId="0" applyNumberFormat="1" applyFont="1" applyFill="1" applyBorder="1" applyAlignment="1">
      <alignment horizontal="center" vertical="center"/>
    </xf>
    <xf numFmtId="2" fontId="12" fillId="24" borderId="35" xfId="0" applyNumberFormat="1" applyFont="1" applyFill="1" applyBorder="1" applyAlignment="1">
      <alignment horizontal="center" vertical="center"/>
    </xf>
    <xf numFmtId="0" fontId="4" fillId="2" borderId="5" xfId="0" applyFont="1" applyFill="1" applyBorder="1"/>
    <xf numFmtId="0" fontId="4" fillId="2" borderId="10" xfId="0" applyFont="1" applyFill="1" applyBorder="1"/>
    <xf numFmtId="0" fontId="4" fillId="2" borderId="9" xfId="0" applyFont="1" applyFill="1" applyBorder="1"/>
    <xf numFmtId="168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7" fontId="4" fillId="0" borderId="12" xfId="0" applyNumberFormat="1" applyFont="1" applyBorder="1" applyAlignment="1">
      <alignment horizontal="center"/>
    </xf>
    <xf numFmtId="168" fontId="4" fillId="0" borderId="19" xfId="0" applyNumberFormat="1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/>
    </xf>
    <xf numFmtId="167" fontId="4" fillId="0" borderId="62" xfId="0" applyNumberFormat="1" applyFont="1" applyBorder="1" applyAlignment="1">
      <alignment horizontal="center"/>
    </xf>
    <xf numFmtId="168" fontId="4" fillId="0" borderId="21" xfId="0" applyNumberFormat="1" applyFont="1" applyBorder="1" applyAlignment="1">
      <alignment horizontal="center" vertical="center"/>
    </xf>
    <xf numFmtId="167" fontId="4" fillId="0" borderId="21" xfId="0" applyNumberFormat="1" applyFont="1" applyBorder="1" applyAlignment="1">
      <alignment horizontal="center" vertical="center"/>
    </xf>
    <xf numFmtId="167" fontId="4" fillId="0" borderId="65" xfId="0" applyNumberFormat="1" applyFont="1" applyBorder="1" applyAlignment="1">
      <alignment horizontal="center"/>
    </xf>
    <xf numFmtId="168" fontId="4" fillId="0" borderId="2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15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167" fontId="4" fillId="0" borderId="53" xfId="0" applyNumberFormat="1" applyFont="1" applyBorder="1" applyAlignment="1">
      <alignment horizontal="center" vertical="center"/>
    </xf>
    <xf numFmtId="167" fontId="4" fillId="0" borderId="33" xfId="0" applyNumberFormat="1" applyFont="1" applyBorder="1" applyAlignment="1">
      <alignment horizontal="center" vertical="center"/>
    </xf>
    <xf numFmtId="167" fontId="4" fillId="0" borderId="10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65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13" fillId="0" borderId="0" xfId="0" applyFont="1" applyFill="1" applyBorder="1" applyAlignment="1"/>
    <xf numFmtId="0" fontId="1" fillId="0" borderId="0" xfId="0" applyFont="1" applyFill="1" applyBorder="1" applyAlignment="1"/>
    <xf numFmtId="0" fontId="6" fillId="0" borderId="0" xfId="0" applyFont="1" applyFill="1" applyBorder="1" applyAlignment="1"/>
    <xf numFmtId="0" fontId="1" fillId="0" borderId="0" xfId="0" applyFont="1" applyFill="1" applyBorder="1" applyAlignment="1">
      <alignment vertical="center" wrapText="1"/>
    </xf>
    <xf numFmtId="0" fontId="1" fillId="0" borderId="4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16" borderId="14" xfId="0" applyFont="1" applyFill="1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 wrapText="1"/>
    </xf>
    <xf numFmtId="0" fontId="1" fillId="28" borderId="14" xfId="0" applyFont="1" applyFill="1" applyBorder="1" applyAlignment="1">
      <alignment horizontal="center" vertical="center"/>
    </xf>
    <xf numFmtId="0" fontId="1" fillId="28" borderId="14" xfId="0" applyFont="1" applyFill="1" applyBorder="1" applyAlignment="1">
      <alignment horizontal="center" vertical="center" wrapText="1"/>
    </xf>
    <xf numFmtId="0" fontId="1" fillId="17" borderId="14" xfId="0" applyFont="1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 wrapText="1"/>
    </xf>
    <xf numFmtId="0" fontId="1" fillId="17" borderId="40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16" borderId="33" xfId="0" applyFont="1" applyFill="1" applyBorder="1" applyAlignment="1">
      <alignment horizontal="center" vertical="center"/>
    </xf>
    <xf numFmtId="0" fontId="1" fillId="28" borderId="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69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6" fontId="4" fillId="0" borderId="14" xfId="0" applyNumberFormat="1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2" fontId="4" fillId="0" borderId="27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2" xfId="0" applyNumberFormat="1" applyFont="1" applyBorder="1" applyAlignment="1">
      <alignment horizontal="center" vertical="center" wrapText="1"/>
    </xf>
    <xf numFmtId="2" fontId="4" fillId="0" borderId="65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38" xfId="0" applyNumberFormat="1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0" fontId="1" fillId="21" borderId="24" xfId="0" applyFont="1" applyFill="1" applyBorder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11" fontId="4" fillId="0" borderId="12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2" fontId="4" fillId="0" borderId="29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 wrapText="1"/>
    </xf>
    <xf numFmtId="1" fontId="4" fillId="0" borderId="75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166" fontId="4" fillId="0" borderId="31" xfId="0" applyNumberFormat="1" applyFont="1" applyBorder="1" applyAlignment="1">
      <alignment horizontal="center" vertical="center"/>
    </xf>
    <xf numFmtId="2" fontId="4" fillId="0" borderId="32" xfId="0" applyNumberFormat="1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167" fontId="4" fillId="0" borderId="31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2" fontId="4" fillId="0" borderId="24" xfId="0" applyNumberFormat="1" applyFont="1" applyBorder="1" applyAlignment="1">
      <alignment horizontal="center" vertical="center" wrapText="1"/>
    </xf>
    <xf numFmtId="2" fontId="4" fillId="0" borderId="62" xfId="0" applyNumberFormat="1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15" fillId="0" borderId="23" xfId="0" applyNumberFormat="1" applyFont="1" applyBorder="1" applyAlignment="1">
      <alignment horizontal="center" vertical="center"/>
    </xf>
    <xf numFmtId="2" fontId="9" fillId="0" borderId="12" xfId="0" applyNumberFormat="1" applyFont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166" fontId="4" fillId="0" borderId="2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40" xfId="0" applyNumberFormat="1" applyFont="1" applyBorder="1" applyAlignment="1">
      <alignment horizontal="center" vertical="center"/>
    </xf>
    <xf numFmtId="2" fontId="5" fillId="0" borderId="23" xfId="0" applyNumberFormat="1" applyFont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2" fontId="9" fillId="0" borderId="62" xfId="0" applyNumberFormat="1" applyFont="1" applyBorder="1" applyAlignment="1">
      <alignment horizontal="center" vertical="center"/>
    </xf>
    <xf numFmtId="0" fontId="1" fillId="21" borderId="6" xfId="0" applyFont="1" applyFill="1" applyBorder="1" applyAlignment="1">
      <alignment horizontal="center" vertical="center"/>
    </xf>
    <xf numFmtId="11" fontId="4" fillId="0" borderId="19" xfId="0" applyNumberFormat="1" applyFont="1" applyBorder="1" applyAlignment="1">
      <alignment horizontal="center" vertical="center"/>
    </xf>
    <xf numFmtId="11" fontId="4" fillId="0" borderId="62" xfId="0" applyNumberFormat="1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1" fontId="4" fillId="0" borderId="21" xfId="0" applyNumberFormat="1" applyFont="1" applyBorder="1" applyAlignment="1">
      <alignment horizontal="center" vertical="center"/>
    </xf>
    <xf numFmtId="11" fontId="4" fillId="0" borderId="65" xfId="0" applyNumberFormat="1" applyFont="1" applyBorder="1" applyAlignment="1">
      <alignment horizontal="center" vertical="center"/>
    </xf>
    <xf numFmtId="0" fontId="1" fillId="0" borderId="55" xfId="0" applyFont="1" applyBorder="1" applyAlignment="1">
      <alignment horizontal="center"/>
    </xf>
    <xf numFmtId="2" fontId="4" fillId="0" borderId="44" xfId="0" applyNumberFormat="1" applyFont="1" applyBorder="1" applyAlignment="1">
      <alignment horizontal="center" vertical="center"/>
    </xf>
    <xf numFmtId="164" fontId="4" fillId="0" borderId="44" xfId="0" applyNumberFormat="1" applyFont="1" applyBorder="1" applyAlignment="1">
      <alignment horizontal="center"/>
    </xf>
    <xf numFmtId="1" fontId="4" fillId="0" borderId="2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22" borderId="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/>
    </xf>
    <xf numFmtId="1" fontId="4" fillId="0" borderId="1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2" fontId="15" fillId="0" borderId="36" xfId="0" applyNumberFormat="1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0" fontId="1" fillId="22" borderId="57" xfId="0" applyFont="1" applyFill="1" applyBorder="1" applyAlignment="1">
      <alignment horizontal="center" vertical="center"/>
    </xf>
    <xf numFmtId="11" fontId="4" fillId="0" borderId="2" xfId="0" applyNumberFormat="1" applyFont="1" applyBorder="1" applyAlignment="1">
      <alignment horizontal="center" vertical="center"/>
    </xf>
    <xf numFmtId="11" fontId="4" fillId="0" borderId="15" xfId="0" applyNumberFormat="1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165" fontId="4" fillId="0" borderId="0" xfId="0" applyNumberFormat="1" applyFont="1" applyAlignment="1">
      <alignment horizontal="center"/>
    </xf>
    <xf numFmtId="2" fontId="4" fillId="0" borderId="36" xfId="0" applyNumberFormat="1" applyFont="1" applyBorder="1" applyAlignment="1">
      <alignment horizontal="center" vertical="center"/>
    </xf>
    <xf numFmtId="2" fontId="4" fillId="0" borderId="36" xfId="0" applyNumberFormat="1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1" fontId="4" fillId="0" borderId="45" xfId="0" applyNumberFormat="1" applyFont="1" applyBorder="1" applyAlignment="1">
      <alignment horizontal="center" vertical="center"/>
    </xf>
    <xf numFmtId="0" fontId="4" fillId="0" borderId="5" xfId="0" applyFont="1" applyBorder="1"/>
    <xf numFmtId="0" fontId="4" fillId="0" borderId="10" xfId="0" applyFont="1" applyBorder="1"/>
    <xf numFmtId="0" fontId="4" fillId="0" borderId="9" xfId="0" applyFont="1" applyBorder="1"/>
    <xf numFmtId="0" fontId="13" fillId="0" borderId="0" xfId="0" applyFont="1"/>
    <xf numFmtId="0" fontId="4" fillId="0" borderId="13" xfId="0" applyFont="1" applyBorder="1"/>
    <xf numFmtId="0" fontId="1" fillId="16" borderId="66" xfId="0" applyFont="1" applyFill="1" applyBorder="1" applyAlignment="1">
      <alignment horizontal="center" vertical="center" wrapText="1"/>
    </xf>
    <xf numFmtId="0" fontId="1" fillId="28" borderId="9" xfId="0" applyFont="1" applyFill="1" applyBorder="1" applyAlignment="1">
      <alignment horizontal="center" vertical="center" wrapText="1"/>
    </xf>
    <xf numFmtId="2" fontId="4" fillId="0" borderId="51" xfId="0" applyNumberFormat="1" applyFont="1" applyBorder="1" applyAlignment="1">
      <alignment horizontal="center" vertical="center"/>
    </xf>
    <xf numFmtId="1" fontId="4" fillId="0" borderId="70" xfId="0" applyNumberFormat="1" applyFont="1" applyBorder="1" applyAlignment="1">
      <alignment horizontal="center" vertical="center"/>
    </xf>
    <xf numFmtId="2" fontId="4" fillId="0" borderId="56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" fontId="4" fillId="0" borderId="54" xfId="0" applyNumberFormat="1" applyFont="1" applyBorder="1" applyAlignment="1">
      <alignment horizontal="center" vertical="center"/>
    </xf>
    <xf numFmtId="2" fontId="4" fillId="0" borderId="59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" fontId="4" fillId="0" borderId="55" xfId="0" applyNumberFormat="1" applyFont="1" applyBorder="1" applyAlignment="1">
      <alignment horizontal="center" vertical="center"/>
    </xf>
    <xf numFmtId="2" fontId="4" fillId="0" borderId="60" xfId="0" applyNumberFormat="1" applyFont="1" applyBorder="1" applyAlignment="1">
      <alignment horizontal="center" vertical="center"/>
    </xf>
    <xf numFmtId="0" fontId="13" fillId="0" borderId="0" xfId="0" applyFont="1" applyBorder="1"/>
    <xf numFmtId="0" fontId="4" fillId="0" borderId="11" xfId="0" applyFont="1" applyBorder="1"/>
    <xf numFmtId="0" fontId="4" fillId="0" borderId="2" xfId="0" applyFont="1" applyBorder="1"/>
    <xf numFmtId="0" fontId="1" fillId="0" borderId="0" xfId="0" applyFont="1" applyBorder="1"/>
    <xf numFmtId="0" fontId="1" fillId="3" borderId="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4" borderId="0" xfId="0" applyFont="1" applyFill="1"/>
    <xf numFmtId="0" fontId="13" fillId="4" borderId="3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4" borderId="12" xfId="0" applyFont="1" applyFill="1" applyBorder="1"/>
    <xf numFmtId="0" fontId="1" fillId="0" borderId="31" xfId="0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2" fontId="17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/>
    </xf>
    <xf numFmtId="2" fontId="10" fillId="18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10" fontId="4" fillId="2" borderId="0" xfId="0" applyNumberFormat="1" applyFont="1" applyFill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18" borderId="1" xfId="0" applyNumberFormat="1" applyFont="1" applyFill="1" applyBorder="1" applyAlignment="1">
      <alignment horizontal="center"/>
    </xf>
    <xf numFmtId="2" fontId="4" fillId="18" borderId="29" xfId="0" applyNumberFormat="1" applyFont="1" applyFill="1" applyBorder="1" applyAlignment="1">
      <alignment horizontal="center"/>
    </xf>
    <xf numFmtId="2" fontId="18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/>
    </xf>
    <xf numFmtId="164" fontId="11" fillId="0" borderId="14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19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4" fillId="2" borderId="40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/>
    </xf>
    <xf numFmtId="0" fontId="4" fillId="2" borderId="21" xfId="0" applyFont="1" applyFill="1" applyBorder="1"/>
    <xf numFmtId="0" fontId="13" fillId="2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" fontId="4" fillId="2" borderId="17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2" fontId="4" fillId="2" borderId="0" xfId="0" applyNumberFormat="1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 vertical="center"/>
    </xf>
    <xf numFmtId="1" fontId="4" fillId="2" borderId="17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16" fillId="1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1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5" fontId="19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0" fillId="0" borderId="4" xfId="0" applyFont="1" applyBorder="1"/>
    <xf numFmtId="0" fontId="21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4" xfId="0" applyFont="1" applyBorder="1"/>
    <xf numFmtId="0" fontId="4" fillId="0" borderId="1" xfId="0" applyFont="1" applyBorder="1"/>
    <xf numFmtId="2" fontId="1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4" fillId="0" borderId="17" xfId="0" applyNumberFormat="1" applyFont="1" applyBorder="1" applyAlignment="1">
      <alignment horizontal="center"/>
    </xf>
    <xf numFmtId="2" fontId="4" fillId="0" borderId="18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164" fontId="4" fillId="0" borderId="23" xfId="0" applyNumberFormat="1" applyFont="1" applyBorder="1" applyAlignment="1">
      <alignment horizontal="center"/>
    </xf>
    <xf numFmtId="2" fontId="4" fillId="18" borderId="0" xfId="0" applyNumberFormat="1" applyFont="1" applyFill="1" applyAlignment="1">
      <alignment horizontal="center" vertical="center"/>
    </xf>
    <xf numFmtId="164" fontId="4" fillId="0" borderId="23" xfId="0" applyNumberFormat="1" applyFont="1" applyBorder="1" applyAlignment="1">
      <alignment horizontal="center" vertical="center"/>
    </xf>
    <xf numFmtId="0" fontId="4" fillId="0" borderId="23" xfId="0" applyFont="1" applyBorder="1"/>
    <xf numFmtId="164" fontId="4" fillId="0" borderId="24" xfId="0" applyNumberFormat="1" applyFont="1" applyBorder="1" applyAlignment="1">
      <alignment horizontal="center" vertical="center"/>
    </xf>
    <xf numFmtId="0" fontId="4" fillId="0" borderId="19" xfId="0" applyFont="1" applyBorder="1"/>
    <xf numFmtId="0" fontId="4" fillId="0" borderId="24" xfId="0" applyFont="1" applyBorder="1"/>
    <xf numFmtId="0" fontId="23" fillId="0" borderId="0" xfId="0" applyFont="1"/>
    <xf numFmtId="0" fontId="24" fillId="0" borderId="0" xfId="0" applyFont="1"/>
    <xf numFmtId="164" fontId="4" fillId="0" borderId="0" xfId="0" applyNumberFormat="1" applyFont="1"/>
    <xf numFmtId="2" fontId="1" fillId="0" borderId="1" xfId="0" applyNumberFormat="1" applyFont="1" applyBorder="1" applyAlignment="1">
      <alignment horizontal="center" vertical="center"/>
    </xf>
    <xf numFmtId="2" fontId="25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0" fontId="4" fillId="0" borderId="4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4" fillId="0" borderId="1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7" fontId="4" fillId="0" borderId="19" xfId="0" applyNumberFormat="1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168" fontId="4" fillId="0" borderId="1" xfId="0" applyNumberFormat="1" applyFont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3" borderId="1" xfId="0" applyNumberFormat="1" applyFont="1" applyFill="1" applyBorder="1" applyAlignment="1">
      <alignment horizontal="center"/>
    </xf>
    <xf numFmtId="10" fontId="4" fillId="17" borderId="16" xfId="0" applyNumberFormat="1" applyFont="1" applyFill="1" applyBorder="1" applyAlignment="1">
      <alignment horizontal="center"/>
    </xf>
    <xf numFmtId="10" fontId="4" fillId="17" borderId="14" xfId="0" applyNumberFormat="1" applyFont="1" applyFill="1" applyBorder="1" applyAlignment="1">
      <alignment horizontal="center"/>
    </xf>
    <xf numFmtId="0" fontId="4" fillId="2" borderId="20" xfId="0" applyFont="1" applyFill="1" applyBorder="1"/>
    <xf numFmtId="0" fontId="4" fillId="2" borderId="23" xfId="0" applyFont="1" applyFill="1" applyBorder="1"/>
    <xf numFmtId="0" fontId="4" fillId="2" borderId="19" xfId="0" applyFont="1" applyFill="1" applyBorder="1"/>
    <xf numFmtId="0" fontId="4" fillId="2" borderId="24" xfId="0" applyFont="1" applyFill="1" applyBorder="1"/>
    <xf numFmtId="0" fontId="4" fillId="2" borderId="17" xfId="0" applyFont="1" applyFill="1" applyBorder="1"/>
    <xf numFmtId="0" fontId="7" fillId="0" borderId="17" xfId="0" applyFont="1" applyBorder="1" applyAlignment="1">
      <alignment horizontal="center" vertical="center"/>
    </xf>
    <xf numFmtId="2" fontId="7" fillId="0" borderId="23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2" fontId="7" fillId="0" borderId="36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64" fontId="16" fillId="0" borderId="15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164" fontId="4" fillId="0" borderId="45" xfId="0" applyNumberFormat="1" applyFont="1" applyBorder="1" applyAlignment="1">
      <alignment horizontal="center"/>
    </xf>
    <xf numFmtId="2" fontId="10" fillId="18" borderId="29" xfId="0" applyNumberFormat="1" applyFont="1" applyFill="1" applyBorder="1" applyAlignment="1">
      <alignment horizontal="center" vertical="center"/>
    </xf>
    <xf numFmtId="0" fontId="4" fillId="2" borderId="0" xfId="0" applyFont="1" applyFill="1" applyBorder="1"/>
    <xf numFmtId="0" fontId="1" fillId="2" borderId="0" xfId="0" applyFont="1" applyFill="1" applyBorder="1" applyAlignment="1">
      <alignment wrapText="1"/>
    </xf>
    <xf numFmtId="167" fontId="4" fillId="2" borderId="0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/>
    </xf>
    <xf numFmtId="164" fontId="4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wrapText="1"/>
    </xf>
    <xf numFmtId="2" fontId="4" fillId="2" borderId="0" xfId="0" applyNumberFormat="1" applyFont="1" applyFill="1" applyBorder="1" applyAlignment="1">
      <alignment horizontal="center" vertical="center"/>
    </xf>
    <xf numFmtId="1" fontId="4" fillId="0" borderId="17" xfId="0" applyNumberFormat="1" applyFont="1" applyFill="1" applyBorder="1" applyAlignment="1">
      <alignment horizontal="center" vertical="center"/>
    </xf>
    <xf numFmtId="2" fontId="4" fillId="0" borderId="23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2" fontId="4" fillId="0" borderId="24" xfId="0" applyNumberFormat="1" applyFont="1" applyFill="1" applyBorder="1" applyAlignment="1">
      <alignment horizontal="center" vertical="center"/>
    </xf>
    <xf numFmtId="2" fontId="1" fillId="16" borderId="8" xfId="0" applyNumberFormat="1" applyFont="1" applyFill="1" applyBorder="1" applyAlignment="1">
      <alignment horizontal="center" vertical="center"/>
    </xf>
    <xf numFmtId="2" fontId="1" fillId="16" borderId="6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90"/>
    </xf>
    <xf numFmtId="0" fontId="4" fillId="3" borderId="4" xfId="0" applyFont="1" applyFill="1" applyBorder="1" applyAlignment="1">
      <alignment horizontal="center" vertical="center" textRotation="90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9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27" borderId="5" xfId="0" applyFont="1" applyFill="1" applyBorder="1" applyAlignment="1">
      <alignment horizontal="center" vertical="center"/>
    </xf>
    <xf numFmtId="0" fontId="1" fillId="27" borderId="10" xfId="0" applyFont="1" applyFill="1" applyBorder="1" applyAlignment="1">
      <alignment horizontal="center" vertical="center"/>
    </xf>
    <xf numFmtId="0" fontId="1" fillId="27" borderId="9" xfId="0" applyFont="1" applyFill="1" applyBorder="1" applyAlignment="1">
      <alignment horizontal="center" vertical="center"/>
    </xf>
    <xf numFmtId="0" fontId="1" fillId="27" borderId="11" xfId="0" applyFont="1" applyFill="1" applyBorder="1" applyAlignment="1">
      <alignment horizontal="center" vertical="center"/>
    </xf>
    <xf numFmtId="0" fontId="1" fillId="27" borderId="2" xfId="0" applyFont="1" applyFill="1" applyBorder="1" applyAlignment="1">
      <alignment horizontal="center" vertical="center"/>
    </xf>
    <xf numFmtId="0" fontId="1" fillId="27" borderId="15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13" fillId="25" borderId="28" xfId="0" applyFont="1" applyFill="1" applyBorder="1" applyAlignment="1">
      <alignment horizontal="center" vertical="center"/>
    </xf>
    <xf numFmtId="0" fontId="13" fillId="25" borderId="1" xfId="0" applyFont="1" applyFill="1" applyBorder="1" applyAlignment="1">
      <alignment horizontal="center" vertical="center"/>
    </xf>
    <xf numFmtId="0" fontId="13" fillId="25" borderId="29" xfId="0" applyFont="1" applyFill="1" applyBorder="1" applyAlignment="1">
      <alignment horizontal="center" vertical="center"/>
    </xf>
    <xf numFmtId="0" fontId="13" fillId="14" borderId="28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3" fillId="14" borderId="29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28" borderId="14" xfId="0" applyFont="1" applyFill="1" applyBorder="1" applyAlignment="1">
      <alignment horizontal="center" vertical="center" wrapText="1"/>
    </xf>
    <xf numFmtId="0" fontId="1" fillId="28" borderId="1" xfId="0" applyFont="1" applyFill="1" applyBorder="1" applyAlignment="1">
      <alignment horizontal="center" vertical="center" wrapText="1"/>
    </xf>
    <xf numFmtId="0" fontId="1" fillId="16" borderId="1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6" fillId="26" borderId="28" xfId="0" applyFont="1" applyFill="1" applyBorder="1" applyAlignment="1">
      <alignment horizontal="center"/>
    </xf>
    <xf numFmtId="0" fontId="6" fillId="26" borderId="1" xfId="0" applyFont="1" applyFill="1" applyBorder="1" applyAlignment="1">
      <alignment horizontal="center"/>
    </xf>
    <xf numFmtId="0" fontId="6" fillId="26" borderId="14" xfId="0" applyFont="1" applyFill="1" applyBorder="1" applyAlignment="1">
      <alignment horizontal="center"/>
    </xf>
    <xf numFmtId="0" fontId="6" fillId="26" borderId="29" xfId="0" applyFont="1" applyFill="1" applyBorder="1" applyAlignment="1">
      <alignment horizontal="center"/>
    </xf>
    <xf numFmtId="0" fontId="1" fillId="0" borderId="6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10" borderId="46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1" fillId="10" borderId="4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11" borderId="46" xfId="0" applyFont="1" applyFill="1" applyBorder="1" applyAlignment="1">
      <alignment horizontal="center"/>
    </xf>
    <xf numFmtId="0" fontId="1" fillId="11" borderId="47" xfId="0" applyFont="1" applyFill="1" applyBorder="1" applyAlignment="1">
      <alignment horizontal="center"/>
    </xf>
    <xf numFmtId="0" fontId="1" fillId="11" borderId="48" xfId="0" applyFont="1" applyFill="1" applyBorder="1" applyAlignment="1">
      <alignment horizontal="center"/>
    </xf>
    <xf numFmtId="0" fontId="1" fillId="0" borderId="6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7" borderId="46" xfId="0" applyFont="1" applyFill="1" applyBorder="1" applyAlignment="1">
      <alignment horizontal="center"/>
    </xf>
    <xf numFmtId="0" fontId="1" fillId="7" borderId="47" xfId="0" applyFont="1" applyFill="1" applyBorder="1" applyAlignment="1">
      <alignment horizontal="center"/>
    </xf>
    <xf numFmtId="0" fontId="1" fillId="7" borderId="48" xfId="0" applyFont="1" applyFill="1" applyBorder="1" applyAlignment="1">
      <alignment horizontal="center"/>
    </xf>
    <xf numFmtId="0" fontId="1" fillId="17" borderId="14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40" xfId="0" applyFont="1" applyFill="1" applyBorder="1" applyAlignment="1">
      <alignment horizontal="center" vertical="center" wrapText="1"/>
    </xf>
    <xf numFmtId="0" fontId="1" fillId="17" borderId="29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center"/>
    </xf>
    <xf numFmtId="0" fontId="1" fillId="13" borderId="47" xfId="0" applyFont="1" applyFill="1" applyBorder="1" applyAlignment="1">
      <alignment horizontal="center"/>
    </xf>
    <xf numFmtId="0" fontId="1" fillId="13" borderId="48" xfId="0" applyFont="1" applyFill="1" applyBorder="1" applyAlignment="1">
      <alignment horizontal="center"/>
    </xf>
    <xf numFmtId="0" fontId="1" fillId="0" borderId="5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16" borderId="25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27" xfId="0" applyFont="1" applyFill="1" applyBorder="1" applyAlignment="1">
      <alignment horizontal="center" vertical="center"/>
    </xf>
    <xf numFmtId="0" fontId="1" fillId="16" borderId="28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" fillId="16" borderId="14" xfId="0" applyFont="1" applyFill="1" applyBorder="1" applyAlignment="1">
      <alignment horizontal="center"/>
    </xf>
    <xf numFmtId="0" fontId="1" fillId="16" borderId="29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1" fillId="28" borderId="25" xfId="0" applyFont="1" applyFill="1" applyBorder="1" applyAlignment="1">
      <alignment horizontal="center" vertical="center"/>
    </xf>
    <xf numFmtId="0" fontId="1" fillId="28" borderId="26" xfId="0" applyFont="1" applyFill="1" applyBorder="1" applyAlignment="1">
      <alignment horizontal="center" vertical="center"/>
    </xf>
    <xf numFmtId="0" fontId="1" fillId="28" borderId="27" xfId="0" applyFont="1" applyFill="1" applyBorder="1" applyAlignment="1">
      <alignment horizontal="center" vertical="center"/>
    </xf>
    <xf numFmtId="0" fontId="1" fillId="28" borderId="28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8" borderId="14" xfId="0" applyFont="1" applyFill="1" applyBorder="1" applyAlignment="1">
      <alignment horizontal="center"/>
    </xf>
    <xf numFmtId="0" fontId="1" fillId="28" borderId="29" xfId="0" applyFont="1" applyFill="1" applyBorder="1" applyAlignment="1">
      <alignment horizontal="center"/>
    </xf>
    <xf numFmtId="0" fontId="1" fillId="17" borderId="28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7" borderId="14" xfId="0" applyFont="1" applyFill="1" applyBorder="1" applyAlignment="1">
      <alignment horizontal="center"/>
    </xf>
    <xf numFmtId="0" fontId="1" fillId="17" borderId="29" xfId="0" applyFont="1" applyFill="1" applyBorder="1" applyAlignment="1">
      <alignment horizontal="center"/>
    </xf>
    <xf numFmtId="0" fontId="1" fillId="17" borderId="25" xfId="0" applyFont="1" applyFill="1" applyBorder="1" applyAlignment="1">
      <alignment horizontal="center" vertical="center"/>
    </xf>
    <xf numFmtId="0" fontId="1" fillId="17" borderId="26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12" borderId="41" xfId="0" applyFont="1" applyFill="1" applyBorder="1" applyAlignment="1">
      <alignment horizontal="center" vertical="center" wrapText="1"/>
    </xf>
    <xf numFmtId="0" fontId="1" fillId="12" borderId="42" xfId="0" applyFont="1" applyFill="1" applyBorder="1" applyAlignment="1">
      <alignment horizontal="center" vertical="center" wrapText="1"/>
    </xf>
    <xf numFmtId="0" fontId="1" fillId="23" borderId="81" xfId="0" applyFont="1" applyFill="1" applyBorder="1" applyAlignment="1">
      <alignment horizontal="center" vertical="center" wrapText="1"/>
    </xf>
    <xf numFmtId="0" fontId="1" fillId="23" borderId="42" xfId="0" applyFont="1" applyFill="1" applyBorder="1" applyAlignment="1">
      <alignment horizontal="center" vertical="center" wrapText="1"/>
    </xf>
    <xf numFmtId="0" fontId="1" fillId="12" borderId="39" xfId="0" applyFont="1" applyFill="1" applyBorder="1" applyAlignment="1">
      <alignment horizontal="center" vertical="center" wrapText="1"/>
    </xf>
    <xf numFmtId="0" fontId="1" fillId="12" borderId="28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6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3" borderId="24" xfId="0" applyFont="1" applyFill="1" applyBorder="1" applyAlignment="1">
      <alignment horizontal="center" vertical="center" wrapText="1"/>
    </xf>
    <xf numFmtId="0" fontId="1" fillId="23" borderId="6" xfId="0" applyFont="1" applyFill="1" applyBorder="1" applyAlignment="1">
      <alignment horizontal="center" vertical="center" wrapText="1"/>
    </xf>
    <xf numFmtId="0" fontId="1" fillId="23" borderId="14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26" borderId="79" xfId="0" applyFont="1" applyFill="1" applyBorder="1" applyAlignment="1">
      <alignment horizontal="center" vertical="center"/>
    </xf>
    <xf numFmtId="0" fontId="6" fillId="26" borderId="52" xfId="0" applyFont="1" applyFill="1" applyBorder="1" applyAlignment="1">
      <alignment horizontal="center" vertical="center"/>
    </xf>
    <xf numFmtId="0" fontId="6" fillId="26" borderId="80" xfId="0" applyFont="1" applyFill="1" applyBorder="1" applyAlignment="1">
      <alignment horizontal="center" vertical="center"/>
    </xf>
    <xf numFmtId="0" fontId="4" fillId="0" borderId="35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6" xfId="0" applyFont="1" applyBorder="1" applyAlignment="1">
      <alignment horizontal="left"/>
    </xf>
    <xf numFmtId="0" fontId="1" fillId="23" borderId="18" xfId="0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 wrapText="1"/>
    </xf>
    <xf numFmtId="0" fontId="1" fillId="5" borderId="43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 wrapText="1"/>
    </xf>
    <xf numFmtId="0" fontId="1" fillId="8" borderId="42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 wrapText="1"/>
    </xf>
    <xf numFmtId="0" fontId="1" fillId="8" borderId="40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2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0" borderId="46" xfId="0" applyFont="1" applyFill="1" applyBorder="1" applyAlignment="1">
      <alignment horizontal="center"/>
    </xf>
    <xf numFmtId="0" fontId="1" fillId="30" borderId="47" xfId="0" applyFont="1" applyFill="1" applyBorder="1" applyAlignment="1">
      <alignment horizontal="center"/>
    </xf>
    <xf numFmtId="0" fontId="1" fillId="30" borderId="48" xfId="0" applyFont="1" applyFill="1" applyBorder="1" applyAlignment="1">
      <alignment horizontal="center"/>
    </xf>
    <xf numFmtId="0" fontId="1" fillId="23" borderId="26" xfId="0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 vertical="center"/>
    </xf>
    <xf numFmtId="0" fontId="1" fillId="6" borderId="47" xfId="0" applyFont="1" applyFill="1" applyBorder="1" applyAlignment="1">
      <alignment horizontal="center" vertical="center"/>
    </xf>
    <xf numFmtId="0" fontId="1" fillId="6" borderId="48" xfId="0" applyFont="1" applyFill="1" applyBorder="1" applyAlignment="1">
      <alignment horizontal="center" vertical="center"/>
    </xf>
    <xf numFmtId="0" fontId="1" fillId="0" borderId="28" xfId="0" applyNumberFormat="1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9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8" borderId="46" xfId="0" applyFont="1" applyFill="1" applyBorder="1" applyAlignment="1">
      <alignment horizontal="center"/>
    </xf>
    <xf numFmtId="0" fontId="1" fillId="8" borderId="47" xfId="0" applyFont="1" applyFill="1" applyBorder="1" applyAlignment="1">
      <alignment horizontal="center"/>
    </xf>
    <xf numFmtId="0" fontId="1" fillId="8" borderId="48" xfId="0" applyFont="1" applyFill="1" applyBorder="1" applyAlignment="1">
      <alignment horizontal="center"/>
    </xf>
    <xf numFmtId="0" fontId="4" fillId="0" borderId="3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" fillId="16" borderId="46" xfId="0" applyFont="1" applyFill="1" applyBorder="1" applyAlignment="1">
      <alignment horizontal="center"/>
    </xf>
    <xf numFmtId="0" fontId="1" fillId="16" borderId="47" xfId="0" applyFont="1" applyFill="1" applyBorder="1" applyAlignment="1">
      <alignment horizontal="center"/>
    </xf>
    <xf numFmtId="0" fontId="1" fillId="16" borderId="48" xfId="0" applyFont="1" applyFill="1" applyBorder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19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1" fillId="5" borderId="41" xfId="0" applyFont="1" applyFill="1" applyBorder="1" applyAlignment="1">
      <alignment horizontal="center"/>
    </xf>
    <xf numFmtId="0" fontId="1" fillId="5" borderId="42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3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3" borderId="25" xfId="0" applyFont="1" applyFill="1" applyBorder="1" applyAlignment="1">
      <alignment horizontal="center" vertical="center" wrapText="1"/>
    </xf>
    <xf numFmtId="0" fontId="1" fillId="23" borderId="28" xfId="0" applyFont="1" applyFill="1" applyBorder="1" applyAlignment="1">
      <alignment horizontal="center" vertical="center" wrapText="1"/>
    </xf>
    <xf numFmtId="0" fontId="1" fillId="23" borderId="41" xfId="0" applyFont="1" applyFill="1" applyBorder="1" applyAlignment="1">
      <alignment horizontal="center" vertical="center" wrapText="1"/>
    </xf>
    <xf numFmtId="0" fontId="1" fillId="23" borderId="43" xfId="0" applyFont="1" applyFill="1" applyBorder="1" applyAlignment="1">
      <alignment horizontal="center" vertical="center" wrapText="1"/>
    </xf>
    <xf numFmtId="0" fontId="1" fillId="23" borderId="27" xfId="0" applyFont="1" applyFill="1" applyBorder="1" applyAlignment="1">
      <alignment horizontal="center" vertical="center"/>
    </xf>
    <xf numFmtId="0" fontId="1" fillId="23" borderId="29" xfId="0" applyFont="1" applyFill="1" applyBorder="1" applyAlignment="1">
      <alignment horizontal="center" vertical="center"/>
    </xf>
    <xf numFmtId="0" fontId="1" fillId="23" borderId="26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 wrapText="1"/>
    </xf>
    <xf numFmtId="0" fontId="6" fillId="12" borderId="46" xfId="0" applyFont="1" applyFill="1" applyBorder="1" applyAlignment="1">
      <alignment horizontal="center"/>
    </xf>
    <xf numFmtId="0" fontId="6" fillId="12" borderId="47" xfId="0" applyFont="1" applyFill="1" applyBorder="1" applyAlignment="1">
      <alignment horizontal="center"/>
    </xf>
    <xf numFmtId="0" fontId="6" fillId="12" borderId="48" xfId="0" applyFont="1" applyFill="1" applyBorder="1" applyAlignment="1">
      <alignment horizontal="center"/>
    </xf>
    <xf numFmtId="1" fontId="4" fillId="0" borderId="65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4" fillId="0" borderId="39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30" xfId="0" applyFont="1" applyBorder="1" applyAlignment="1">
      <alignment horizontal="left"/>
    </xf>
    <xf numFmtId="0" fontId="4" fillId="0" borderId="31" xfId="0" applyFont="1" applyBorder="1" applyAlignment="1">
      <alignment horizontal="left"/>
    </xf>
    <xf numFmtId="0" fontId="1" fillId="8" borderId="14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2" borderId="14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49" xfId="0" applyFont="1" applyFill="1" applyBorder="1" applyAlignment="1">
      <alignment horizontal="center" vertical="center" wrapText="1"/>
    </xf>
    <xf numFmtId="0" fontId="1" fillId="5" borderId="39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12" borderId="1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7" fillId="18" borderId="17" xfId="0" applyFont="1" applyFill="1" applyBorder="1" applyAlignment="1">
      <alignment horizontal="center" vertic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18" borderId="23" xfId="0" applyFont="1" applyFill="1" applyBorder="1" applyAlignment="1">
      <alignment horizontal="center" vertical="center" wrapText="1"/>
    </xf>
    <xf numFmtId="0" fontId="7" fillId="18" borderId="35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 vertical="center" wrapText="1"/>
    </xf>
    <xf numFmtId="0" fontId="7" fillId="18" borderId="36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18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19" borderId="41" xfId="0" applyFont="1" applyFill="1" applyBorder="1" applyAlignment="1">
      <alignment horizontal="center"/>
    </xf>
    <xf numFmtId="0" fontId="1" fillId="19" borderId="42" xfId="0" applyFont="1" applyFill="1" applyBorder="1" applyAlignment="1">
      <alignment horizontal="center"/>
    </xf>
    <xf numFmtId="0" fontId="1" fillId="19" borderId="43" xfId="0" applyFont="1" applyFill="1" applyBorder="1" applyAlignment="1">
      <alignment horizontal="center"/>
    </xf>
    <xf numFmtId="0" fontId="1" fillId="18" borderId="29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0" xfId="0" applyFont="1" applyFill="1" applyBorder="1" applyAlignment="1">
      <alignment horizontal="center" vertical="center"/>
    </xf>
    <xf numFmtId="0" fontId="13" fillId="15" borderId="9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13" fillId="15" borderId="0" xfId="0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" fillId="14" borderId="46" xfId="0" applyFont="1" applyFill="1" applyBorder="1" applyAlignment="1">
      <alignment horizontal="center"/>
    </xf>
    <xf numFmtId="0" fontId="1" fillId="14" borderId="47" xfId="0" applyFont="1" applyFill="1" applyBorder="1" applyAlignment="1">
      <alignment horizontal="center"/>
    </xf>
    <xf numFmtId="0" fontId="1" fillId="14" borderId="48" xfId="0" applyFont="1" applyFill="1" applyBorder="1" applyAlignment="1">
      <alignment horizontal="center"/>
    </xf>
    <xf numFmtId="0" fontId="1" fillId="6" borderId="46" xfId="0" applyFont="1" applyFill="1" applyBorder="1" applyAlignment="1">
      <alignment horizontal="center"/>
    </xf>
    <xf numFmtId="0" fontId="1" fillId="6" borderId="47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1" fillId="17" borderId="46" xfId="0" applyFont="1" applyFill="1" applyBorder="1" applyAlignment="1">
      <alignment horizontal="center"/>
    </xf>
    <xf numFmtId="0" fontId="1" fillId="17" borderId="47" xfId="0" applyFont="1" applyFill="1" applyBorder="1" applyAlignment="1">
      <alignment horizontal="center"/>
    </xf>
    <xf numFmtId="0" fontId="1" fillId="17" borderId="48" xfId="0" applyFont="1" applyFill="1" applyBorder="1" applyAlignment="1">
      <alignment horizontal="center"/>
    </xf>
    <xf numFmtId="0" fontId="1" fillId="18" borderId="46" xfId="0" applyFont="1" applyFill="1" applyBorder="1" applyAlignment="1">
      <alignment horizontal="center"/>
    </xf>
    <xf numFmtId="0" fontId="1" fillId="18" borderId="47" xfId="0" applyFont="1" applyFill="1" applyBorder="1" applyAlignment="1">
      <alignment horizontal="center"/>
    </xf>
    <xf numFmtId="0" fontId="1" fillId="18" borderId="48" xfId="0" applyFont="1" applyFill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8" borderId="52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8" borderId="16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1" fillId="16" borderId="41" xfId="0" applyFont="1" applyFill="1" applyBorder="1" applyAlignment="1">
      <alignment horizontal="center"/>
    </xf>
    <xf numFmtId="0" fontId="1" fillId="16" borderId="43" xfId="0" applyFont="1" applyFill="1" applyBorder="1" applyAlignment="1">
      <alignment horizontal="center"/>
    </xf>
    <xf numFmtId="0" fontId="1" fillId="26" borderId="41" xfId="0" applyFont="1" applyFill="1" applyBorder="1" applyAlignment="1">
      <alignment horizontal="center"/>
    </xf>
    <xf numFmtId="0" fontId="1" fillId="26" borderId="4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15" borderId="41" xfId="0" applyFont="1" applyFill="1" applyBorder="1" applyAlignment="1">
      <alignment horizontal="center" vertical="center"/>
    </xf>
    <xf numFmtId="0" fontId="3" fillId="15" borderId="42" xfId="0" applyFont="1" applyFill="1" applyBorder="1" applyAlignment="1">
      <alignment horizontal="center" vertical="center"/>
    </xf>
    <xf numFmtId="0" fontId="3" fillId="15" borderId="43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/>
    </xf>
    <xf numFmtId="0" fontId="1" fillId="2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2" fontId="4" fillId="0" borderId="17" xfId="0" applyNumberFormat="1" applyFont="1" applyBorder="1" applyAlignment="1">
      <alignment horizontal="center" vertical="center"/>
    </xf>
    <xf numFmtId="2" fontId="4" fillId="18" borderId="0" xfId="0" applyNumberFormat="1" applyFont="1" applyFill="1" applyAlignment="1">
      <alignment horizontal="center" vertical="center"/>
    </xf>
    <xf numFmtId="2" fontId="4" fillId="0" borderId="23" xfId="0" applyNumberFormat="1" applyFont="1" applyBorder="1" applyAlignment="1">
      <alignment horizontal="center" vertical="center"/>
    </xf>
    <xf numFmtId="0" fontId="1" fillId="22" borderId="8" xfId="0" applyFont="1" applyFill="1" applyBorder="1" applyAlignment="1">
      <alignment horizontal="center"/>
    </xf>
    <xf numFmtId="0" fontId="1" fillId="22" borderId="7" xfId="0" applyFont="1" applyFill="1" applyBorder="1" applyAlignment="1">
      <alignment horizontal="center"/>
    </xf>
    <xf numFmtId="0" fontId="1" fillId="22" borderId="6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2" fontId="1" fillId="16" borderId="23" xfId="0" applyNumberFormat="1" applyFont="1" applyFill="1" applyBorder="1" applyAlignment="1">
      <alignment horizontal="center" vertical="center"/>
    </xf>
    <xf numFmtId="2" fontId="1" fillId="16" borderId="24" xfId="0" applyNumberFormat="1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3" borderId="8" xfId="0" applyFont="1" applyFill="1" applyBorder="1" applyAlignment="1">
      <alignment horizontal="center"/>
    </xf>
    <xf numFmtId="0" fontId="1" fillId="23" borderId="7" xfId="0" applyFont="1" applyFill="1" applyBorder="1" applyAlignment="1">
      <alignment horizontal="center"/>
    </xf>
    <xf numFmtId="0" fontId="1" fillId="23" borderId="6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wrapText="1"/>
    </xf>
    <xf numFmtId="0" fontId="1" fillId="10" borderId="1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17" borderId="4" xfId="0" applyFont="1" applyFill="1" applyBorder="1" applyAlignment="1">
      <alignment horizontal="center" vertical="center"/>
    </xf>
    <xf numFmtId="0" fontId="1" fillId="17" borderId="16" xfId="0" applyFont="1" applyFill="1" applyBorder="1" applyAlignment="1">
      <alignment horizontal="center" vertical="center"/>
    </xf>
    <xf numFmtId="0" fontId="20" fillId="24" borderId="8" xfId="0" applyFont="1" applyFill="1" applyBorder="1" applyAlignment="1">
      <alignment horizontal="center"/>
    </xf>
    <xf numFmtId="0" fontId="20" fillId="24" borderId="7" xfId="0" applyFont="1" applyFill="1" applyBorder="1" applyAlignment="1">
      <alignment horizontal="center"/>
    </xf>
    <xf numFmtId="0" fontId="20" fillId="24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9" borderId="1" xfId="0" applyFont="1" applyFill="1" applyBorder="1" applyAlignment="1">
      <alignment horizontal="center"/>
    </xf>
    <xf numFmtId="0" fontId="1" fillId="12" borderId="20" xfId="0" applyFont="1" applyFill="1" applyBorder="1" applyAlignment="1">
      <alignment horizontal="center" wrapText="1"/>
    </xf>
    <xf numFmtId="0" fontId="1" fillId="12" borderId="21" xfId="0" applyFont="1" applyFill="1" applyBorder="1" applyAlignment="1">
      <alignment horizontal="center" wrapText="1"/>
    </xf>
    <xf numFmtId="0" fontId="1" fillId="12" borderId="22" xfId="0" applyFont="1" applyFill="1" applyBorder="1" applyAlignment="1">
      <alignment horizontal="center" wrapText="1"/>
    </xf>
    <xf numFmtId="0" fontId="1" fillId="9" borderId="8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wrapText="1"/>
    </xf>
    <xf numFmtId="0" fontId="1" fillId="17" borderId="14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00FF00"/>
      <color rgb="FFFF0000"/>
      <color rgb="FFFF3300"/>
      <color rgb="FFFF9966"/>
      <color rgb="FFFF6600"/>
      <color rgb="FFFF7C80"/>
      <color rgb="FFFF5050"/>
      <color rgb="FFFFCC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'System Capacities'!$I$59:$I$68</c:f>
              <c:numCache>
                <c:formatCode>0.0000</c:formatCode>
                <c:ptCount val="10"/>
                <c:pt idx="0" formatCode="0.00">
                  <c:v>0</c:v>
                </c:pt>
                <c:pt idx="1">
                  <c:v>1.7342707198796904E-3</c:v>
                </c:pt>
                <c:pt idx="2">
                  <c:v>4.6867025203277445E-3</c:v>
                </c:pt>
                <c:pt idx="3">
                  <c:v>6.7523273096129852E-3</c:v>
                </c:pt>
                <c:pt idx="4">
                  <c:v>1.1324525154265398E-2</c:v>
                </c:pt>
                <c:pt idx="5">
                  <c:v>1.7969676653848146E-2</c:v>
                </c:pt>
                <c:pt idx="6">
                  <c:v>2.090360185997998E-2</c:v>
                </c:pt>
                <c:pt idx="7">
                  <c:v>4.1594031749667901E-2</c:v>
                </c:pt>
                <c:pt idx="8">
                  <c:v>0.08</c:v>
                </c:pt>
                <c:pt idx="9">
                  <c:v>0.2</c:v>
                </c:pt>
              </c:numCache>
            </c:numRef>
          </c:xVal>
          <c:yVal>
            <c:numRef>
              <c:f>'System Capacities'!$H$59:$H$68</c:f>
              <c:numCache>
                <c:formatCode>0.00</c:formatCode>
                <c:ptCount val="10"/>
                <c:pt idx="0">
                  <c:v>0</c:v>
                </c:pt>
                <c:pt idx="1">
                  <c:v>257.18625560792617</c:v>
                </c:pt>
                <c:pt idx="2">
                  <c:v>382.13854415267815</c:v>
                </c:pt>
                <c:pt idx="3">
                  <c:v>356.46245323197371</c:v>
                </c:pt>
                <c:pt idx="4">
                  <c:v>193.88932596359973</c:v>
                </c:pt>
                <c:pt idx="5">
                  <c:v>200.22800000000007</c:v>
                </c:pt>
                <c:pt idx="6">
                  <c:v>186.16133333333335</c:v>
                </c:pt>
                <c:pt idx="7">
                  <c:v>86.961333333333386</c:v>
                </c:pt>
                <c:pt idx="8">
                  <c:v>86.961333333333386</c:v>
                </c:pt>
                <c:pt idx="9">
                  <c:v>86.961333333333386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CE-48E4-9635-51F8F2445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144496"/>
        <c:axId val="515534304"/>
      </c:scatterChart>
      <c:valAx>
        <c:axId val="514144496"/>
        <c:scaling>
          <c:orientation val="minMax"/>
          <c:max val="6.0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304"/>
        <c:crosses val="autoZero"/>
        <c:crossBetween val="midCat"/>
      </c:valAx>
      <c:valAx>
        <c:axId val="5155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14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Displaced Shape (6th Iteration</a:t>
            </a:r>
            <a:r>
              <a:rPr lang="en-GB" b="1" i="0" baseline="0">
                <a:solidFill>
                  <a:schemeClr val="tx1">
                    <a:lumMod val="65000"/>
                    <a:lumOff val="35000"/>
                  </a:schemeClr>
                </a:solidFill>
              </a:rPr>
              <a:t>)</a:t>
            </a:r>
            <a:endParaRPr lang="en-GB" b="1" i="0">
              <a:solidFill>
                <a:schemeClr val="tx1">
                  <a:lumMod val="65000"/>
                  <a:lumOff val="3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608013629965597E-2"/>
          <c:y val="9.1158174022679089E-2"/>
          <c:w val="0.84961250129759069"/>
          <c:h val="0.79970932679737927"/>
        </c:manualLayout>
      </c:layout>
      <c:scatterChart>
        <c:scatterStyle val="smoothMarker"/>
        <c:varyColors val="0"/>
        <c:ser>
          <c:idx val="2"/>
          <c:order val="2"/>
          <c:tx>
            <c:v>Guess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'Yield Mechanism'!$D$5:$D$11</c:f>
              <c:numCache>
                <c:formatCode>0.0000</c:formatCode>
                <c:ptCount val="7"/>
                <c:pt idx="0">
                  <c:v>8.8706777552100251E-3</c:v>
                </c:pt>
                <c:pt idx="1">
                  <c:v>8.1914683464907705E-3</c:v>
                </c:pt>
                <c:pt idx="2">
                  <c:v>7.0182782269265949E-3</c:v>
                </c:pt>
                <c:pt idx="3">
                  <c:v>5.425543345951361E-3</c:v>
                </c:pt>
                <c:pt idx="4">
                  <c:v>3.5882357900888957E-3</c:v>
                </c:pt>
                <c:pt idx="5">
                  <c:v>1.6636584456677132E-3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4C-40DA-81BE-6B5F70EA42BF}"/>
            </c:ext>
          </c:extLst>
        </c:ser>
        <c:ser>
          <c:idx val="0"/>
          <c:order val="0"/>
          <c:tx>
            <c:v>Displaced Shape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'Yield Mechanism'!$X$57:$X$63</c:f>
              <c:numCache>
                <c:formatCode>0.0000</c:formatCode>
                <c:ptCount val="7"/>
                <c:pt idx="0">
                  <c:v>8.8706729885236167E-3</c:v>
                </c:pt>
                <c:pt idx="1">
                  <c:v>8.1914646031674213E-3</c:v>
                </c:pt>
                <c:pt idx="2">
                  <c:v>7.0182758691864173E-3</c:v>
                </c:pt>
                <c:pt idx="3">
                  <c:v>5.4255422527592035E-3</c:v>
                </c:pt>
                <c:pt idx="4">
                  <c:v>3.5882354553208335E-3</c:v>
                </c:pt>
                <c:pt idx="5">
                  <c:v>1.6636583172296823E-3</c:v>
                </c:pt>
                <c:pt idx="6">
                  <c:v>0</c:v>
                </c:pt>
              </c:numCache>
            </c:numRef>
          </c:xVal>
          <c:yVal>
            <c:numRef>
              <c:f>'Yield Mechanism'!$A$5:$A$11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82-40A7-B5F3-6313AB659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8.8706777552100251E-3</c:v>
                      </c:pt>
                      <c:pt idx="1">
                        <c:v>8.1914683464907705E-3</c:v>
                      </c:pt>
                      <c:pt idx="2">
                        <c:v>7.0182782269265949E-3</c:v>
                      </c:pt>
                      <c:pt idx="3">
                        <c:v>5.425543345951361E-3</c:v>
                      </c:pt>
                      <c:pt idx="4">
                        <c:v>3.5882357900888957E-3</c:v>
                      </c:pt>
                      <c:pt idx="5">
                        <c:v>1.6636584456677132E-3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0182-40A7-B5F3-6313AB659B9F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ax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  <c:majorUnit val="1.5000000000000003E-2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81797521297046"/>
          <c:y val="0.49299970641692775"/>
          <c:w val="0.17606574345699852"/>
          <c:h val="0.13228283166098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solidFill>
                  <a:schemeClr val="tx1">
                    <a:lumMod val="65000"/>
                    <a:lumOff val="35000"/>
                  </a:schemeClr>
                </a:solidFill>
              </a:rPr>
              <a:t>Lateral Force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'Yield Mechanism'!$H$56:$H$62</c:f>
              <c:numCache>
                <c:formatCode>0.00</c:formatCode>
                <c:ptCount val="7"/>
                <c:pt idx="0">
                  <c:v>0.24314358922715623</c:v>
                </c:pt>
                <c:pt idx="1">
                  <c:v>0.23949164556766742</c:v>
                </c:pt>
                <c:pt idx="2">
                  <c:v>0.20519144235932835</c:v>
                </c:pt>
                <c:pt idx="3">
                  <c:v>0.15862511835890475</c:v>
                </c:pt>
                <c:pt idx="4">
                  <c:v>0.10490827410115966</c:v>
                </c:pt>
                <c:pt idx="5">
                  <c:v>4.86399303857835E-2</c:v>
                </c:pt>
                <c:pt idx="6">
                  <c:v>0</c:v>
                </c:pt>
              </c:numCache>
            </c:numRef>
          </c:xVal>
          <c:yVal>
            <c:numRef>
              <c:f>'Yield Mechanism'!$E$56:$E$62</c:f>
              <c:numCache>
                <c:formatCode>0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1-4965-87EA-04898414E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6472191"/>
        <c:axId val="398830079"/>
      </c:scatterChart>
      <c:valAx>
        <c:axId val="39647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Lateral Force/Base</a:t>
                </a:r>
                <a:r>
                  <a:rPr lang="en-GB" baseline="0"/>
                  <a:t> Shear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0079"/>
        <c:crosses val="autoZero"/>
        <c:crossBetween val="midCat"/>
      </c:valAx>
      <c:valAx>
        <c:axId val="39883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7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Pushover Curve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02398229633059"/>
          <c:y val="0.14696382056076399"/>
          <c:w val="0.816446708867274"/>
          <c:h val="0.68583157861238253"/>
        </c:manualLayout>
      </c:layout>
      <c:scatterChart>
        <c:scatterStyle val="lineMarker"/>
        <c:varyColors val="0"/>
        <c:ser>
          <c:idx val="1"/>
          <c:order val="0"/>
          <c:tx>
            <c:v>DBA</c:v>
          </c:tx>
          <c:xVal>
            <c:numRef>
              <c:f>'Post-yield Mechanism'!$D$37:$D$57</c:f>
              <c:numCache>
                <c:formatCode>0.0000</c:formatCode>
                <c:ptCount val="21"/>
                <c:pt idx="0">
                  <c:v>0</c:v>
                </c:pt>
                <c:pt idx="1">
                  <c:v>8.8706729885236167E-3</c:v>
                </c:pt>
                <c:pt idx="2">
                  <c:v>8.8706729885236167E-3</c:v>
                </c:pt>
                <c:pt idx="3">
                  <c:v>8.8706729885236167E-3</c:v>
                </c:pt>
                <c:pt idx="4">
                  <c:v>8.8706729885236167E-3</c:v>
                </c:pt>
                <c:pt idx="5">
                  <c:v>8.8706729885236167E-3</c:v>
                </c:pt>
                <c:pt idx="6">
                  <c:v>8.8706729885236167E-3</c:v>
                </c:pt>
                <c:pt idx="7">
                  <c:v>8.8706729885236167E-3</c:v>
                </c:pt>
                <c:pt idx="8">
                  <c:v>8.8706729885236167E-3</c:v>
                </c:pt>
                <c:pt idx="9">
                  <c:v>8.8706729885236167E-3</c:v>
                </c:pt>
                <c:pt idx="10">
                  <c:v>8.8706729885236167E-3</c:v>
                </c:pt>
                <c:pt idx="11">
                  <c:v>8.8706729885236167E-3</c:v>
                </c:pt>
                <c:pt idx="12">
                  <c:v>8.8706729885236167E-3</c:v>
                </c:pt>
                <c:pt idx="13">
                  <c:v>8.8706729885236167E-3</c:v>
                </c:pt>
                <c:pt idx="14">
                  <c:v>8.8706729885236167E-3</c:v>
                </c:pt>
                <c:pt idx="15">
                  <c:v>8.8706729885236167E-3</c:v>
                </c:pt>
                <c:pt idx="16">
                  <c:v>8.8706729885236167E-3</c:v>
                </c:pt>
                <c:pt idx="17">
                  <c:v>8.8706729885236167E-3</c:v>
                </c:pt>
                <c:pt idx="18">
                  <c:v>8.8706729885236167E-3</c:v>
                </c:pt>
                <c:pt idx="19">
                  <c:v>8.8706729885236167E-3</c:v>
                </c:pt>
                <c:pt idx="20">
                  <c:v>8.8706729885236167E-3</c:v>
                </c:pt>
              </c:numCache>
            </c:numRef>
          </c:xVal>
          <c:yVal>
            <c:numRef>
              <c:f>'Post-yield Mechanism'!$C$37:$C$57</c:f>
              <c:numCache>
                <c:formatCode>0.00</c:formatCode>
                <c:ptCount val="21"/>
                <c:pt idx="0" formatCode="0.0000">
                  <c:v>0</c:v>
                </c:pt>
                <c:pt idx="1">
                  <c:v>-99.999998772354672</c:v>
                </c:pt>
                <c:pt idx="2">
                  <c:v>-99.999998772354672</c:v>
                </c:pt>
                <c:pt idx="3">
                  <c:v>-99.999998772354672</c:v>
                </c:pt>
                <c:pt idx="4">
                  <c:v>-99.999998772354672</c:v>
                </c:pt>
                <c:pt idx="5">
                  <c:v>-99.999998772354672</c:v>
                </c:pt>
                <c:pt idx="6">
                  <c:v>-99.999998772354672</c:v>
                </c:pt>
                <c:pt idx="7">
                  <c:v>-99.999998772354672</c:v>
                </c:pt>
                <c:pt idx="8">
                  <c:v>-99.999998772354672</c:v>
                </c:pt>
                <c:pt idx="9">
                  <c:v>-99.999998772354672</c:v>
                </c:pt>
                <c:pt idx="10">
                  <c:v>-99.999998772354672</c:v>
                </c:pt>
                <c:pt idx="11">
                  <c:v>-99.999998772354672</c:v>
                </c:pt>
                <c:pt idx="12">
                  <c:v>-99.999998772354672</c:v>
                </c:pt>
                <c:pt idx="13">
                  <c:v>-99.999998772354672</c:v>
                </c:pt>
                <c:pt idx="14">
                  <c:v>-99.999998772354672</c:v>
                </c:pt>
                <c:pt idx="15">
                  <c:v>-99.999998772354672</c:v>
                </c:pt>
                <c:pt idx="16">
                  <c:v>-99.999998772354672</c:v>
                </c:pt>
                <c:pt idx="17">
                  <c:v>-99.999998772354672</c:v>
                </c:pt>
                <c:pt idx="18">
                  <c:v>-99.999998772354672</c:v>
                </c:pt>
                <c:pt idx="19">
                  <c:v>-99.999998772354672</c:v>
                </c:pt>
                <c:pt idx="20">
                  <c:v>-99.999998772354672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4F-4891-86DD-C55A79FD4052}"/>
            </c:ext>
          </c:extLst>
        </c:ser>
        <c:ser>
          <c:idx val="0"/>
          <c:order val="1"/>
          <c:tx>
            <c:v>Pushover Curve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053"/>
              <c:pt idx="0">
                <c:v>3.8362100000000003E-5</c:v>
              </c:pt>
              <c:pt idx="1">
                <c:v>7.8348200000000003E-5</c:v>
              </c:pt>
              <c:pt idx="2">
                <c:v>1.18334E-4</c:v>
              </c:pt>
              <c:pt idx="3">
                <c:v>1.5831999999999999E-4</c:v>
              </c:pt>
              <c:pt idx="4">
                <c:v>1.9830600000000001E-4</c:v>
              </c:pt>
              <c:pt idx="5">
                <c:v>2.3829299999999999E-4</c:v>
              </c:pt>
              <c:pt idx="6">
                <c:v>2.7827899999999998E-4</c:v>
              </c:pt>
              <c:pt idx="7">
                <c:v>3.1826499999999998E-4</c:v>
              </c:pt>
              <c:pt idx="8">
                <c:v>3.5825100000000002E-4</c:v>
              </c:pt>
              <c:pt idx="9">
                <c:v>3.9823700000000002E-4</c:v>
              </c:pt>
              <c:pt idx="10">
                <c:v>4.3822300000000001E-4</c:v>
              </c:pt>
              <c:pt idx="11">
                <c:v>4.78209E-4</c:v>
              </c:pt>
              <c:pt idx="12">
                <c:v>5.1819500000000005E-4</c:v>
              </c:pt>
              <c:pt idx="13">
                <c:v>5.5818100000000004E-4</c:v>
              </c:pt>
              <c:pt idx="14">
                <c:v>5.9816700000000003E-4</c:v>
              </c:pt>
              <c:pt idx="15">
                <c:v>6.3815300000000003E-4</c:v>
              </c:pt>
              <c:pt idx="16">
                <c:v>6.7813900000000002E-4</c:v>
              </c:pt>
              <c:pt idx="17">
                <c:v>7.18124E-4</c:v>
              </c:pt>
              <c:pt idx="18">
                <c:v>7.5810899999999997E-4</c:v>
              </c:pt>
              <c:pt idx="19">
                <c:v>7.9809399999999995E-4</c:v>
              </c:pt>
              <c:pt idx="20">
                <c:v>8.3807900000000004E-4</c:v>
              </c:pt>
              <c:pt idx="21">
                <c:v>8.7806400000000001E-4</c:v>
              </c:pt>
              <c:pt idx="22">
                <c:v>9.1804899999999999E-4</c:v>
              </c:pt>
              <c:pt idx="23">
                <c:v>9.5803399999999997E-4</c:v>
              </c:pt>
              <c:pt idx="24">
                <c:v>9.9802000000000007E-4</c:v>
              </c:pt>
              <c:pt idx="25">
                <c:v>1.0380000000000001E-3</c:v>
              </c:pt>
              <c:pt idx="26">
                <c:v>1.07799E-3</c:v>
              </c:pt>
              <c:pt idx="27">
                <c:v>1.11797E-3</c:v>
              </c:pt>
              <c:pt idx="28">
                <c:v>1.15796E-3</c:v>
              </c:pt>
              <c:pt idx="29">
                <c:v>1.19794E-3</c:v>
              </c:pt>
              <c:pt idx="30">
                <c:v>1.2379299999999999E-3</c:v>
              </c:pt>
              <c:pt idx="31">
                <c:v>1.2779200000000001E-3</c:v>
              </c:pt>
              <c:pt idx="32">
                <c:v>1.3179000000000001E-3</c:v>
              </c:pt>
              <c:pt idx="33">
                <c:v>1.3578900000000001E-3</c:v>
              </c:pt>
              <c:pt idx="34">
                <c:v>1.3978700000000001E-3</c:v>
              </c:pt>
              <c:pt idx="35">
                <c:v>1.43786E-3</c:v>
              </c:pt>
              <c:pt idx="36">
                <c:v>1.47784E-3</c:v>
              </c:pt>
              <c:pt idx="37">
                <c:v>1.51782E-3</c:v>
              </c:pt>
              <c:pt idx="38">
                <c:v>1.55781E-3</c:v>
              </c:pt>
              <c:pt idx="39">
                <c:v>1.59779E-3</c:v>
              </c:pt>
              <c:pt idx="40">
                <c:v>1.6377799999999999E-3</c:v>
              </c:pt>
              <c:pt idx="41">
                <c:v>1.6777599999999999E-3</c:v>
              </c:pt>
              <c:pt idx="42">
                <c:v>1.7177500000000001E-3</c:v>
              </c:pt>
              <c:pt idx="43">
                <c:v>1.7577300000000001E-3</c:v>
              </c:pt>
              <c:pt idx="44">
                <c:v>1.79772E-3</c:v>
              </c:pt>
              <c:pt idx="45">
                <c:v>1.8377000000000001E-3</c:v>
              </c:pt>
              <c:pt idx="46">
                <c:v>1.87769E-3</c:v>
              </c:pt>
              <c:pt idx="47">
                <c:v>1.91767E-3</c:v>
              </c:pt>
              <c:pt idx="48">
                <c:v>1.95766E-3</c:v>
              </c:pt>
              <c:pt idx="49">
                <c:v>1.9976400000000002E-3</c:v>
              </c:pt>
              <c:pt idx="50">
                <c:v>2.0376299999999999E-3</c:v>
              </c:pt>
              <c:pt idx="51">
                <c:v>2.0776100000000001E-3</c:v>
              </c:pt>
              <c:pt idx="52">
                <c:v>2.1175999999999999E-3</c:v>
              </c:pt>
              <c:pt idx="53">
                <c:v>2.15759E-3</c:v>
              </c:pt>
              <c:pt idx="54">
                <c:v>2.1975699999999998E-3</c:v>
              </c:pt>
              <c:pt idx="55">
                <c:v>2.23756E-3</c:v>
              </c:pt>
              <c:pt idx="56">
                <c:v>2.2775400000000002E-3</c:v>
              </c:pt>
              <c:pt idx="57">
                <c:v>2.3175299999999999E-3</c:v>
              </c:pt>
              <c:pt idx="58">
                <c:v>2.3575100000000002E-3</c:v>
              </c:pt>
              <c:pt idx="59">
                <c:v>2.3974999999999999E-3</c:v>
              </c:pt>
              <c:pt idx="60">
                <c:v>2.4374900000000001E-3</c:v>
              </c:pt>
              <c:pt idx="61">
                <c:v>2.4774699999999998E-3</c:v>
              </c:pt>
              <c:pt idx="62">
                <c:v>2.51746E-3</c:v>
              </c:pt>
              <c:pt idx="63">
                <c:v>2.5574399999999998E-3</c:v>
              </c:pt>
              <c:pt idx="64">
                <c:v>2.59743E-3</c:v>
              </c:pt>
              <c:pt idx="65">
                <c:v>2.6374200000000001E-3</c:v>
              </c:pt>
              <c:pt idx="66">
                <c:v>2.6774099999999999E-3</c:v>
              </c:pt>
              <c:pt idx="67">
                <c:v>2.7173900000000001E-3</c:v>
              </c:pt>
              <c:pt idx="68">
                <c:v>2.7573799999999998E-3</c:v>
              </c:pt>
              <c:pt idx="69">
                <c:v>2.79737E-3</c:v>
              </c:pt>
              <c:pt idx="70">
                <c:v>2.8373600000000001E-3</c:v>
              </c:pt>
              <c:pt idx="71">
                <c:v>2.8773499999999999E-3</c:v>
              </c:pt>
              <c:pt idx="72">
                <c:v>2.91734E-3</c:v>
              </c:pt>
              <c:pt idx="73">
                <c:v>2.9573300000000002E-3</c:v>
              </c:pt>
              <c:pt idx="74">
                <c:v>2.9973199999999999E-3</c:v>
              </c:pt>
              <c:pt idx="75">
                <c:v>3.0373100000000001E-3</c:v>
              </c:pt>
              <c:pt idx="76">
                <c:v>3.0772999999999998E-3</c:v>
              </c:pt>
              <c:pt idx="77">
                <c:v>3.11729E-3</c:v>
              </c:pt>
              <c:pt idx="78">
                <c:v>3.1572800000000002E-3</c:v>
              </c:pt>
              <c:pt idx="79">
                <c:v>3.1972699999999999E-3</c:v>
              </c:pt>
              <c:pt idx="80">
                <c:v>3.2372600000000001E-3</c:v>
              </c:pt>
              <c:pt idx="81">
                <c:v>3.2772500000000002E-3</c:v>
              </c:pt>
              <c:pt idx="82">
                <c:v>3.3172399999999999E-3</c:v>
              </c:pt>
              <c:pt idx="83">
                <c:v>3.3572300000000001E-3</c:v>
              </c:pt>
              <c:pt idx="84">
                <c:v>3.3972300000000002E-3</c:v>
              </c:pt>
              <c:pt idx="85">
                <c:v>3.4372199999999999E-3</c:v>
              </c:pt>
              <c:pt idx="86">
                <c:v>3.4772100000000001E-3</c:v>
              </c:pt>
              <c:pt idx="87">
                <c:v>3.5171999999999998E-3</c:v>
              </c:pt>
              <c:pt idx="88">
                <c:v>3.55719E-3</c:v>
              </c:pt>
              <c:pt idx="89">
                <c:v>3.5971800000000002E-3</c:v>
              </c:pt>
              <c:pt idx="90">
                <c:v>3.6371699999999999E-3</c:v>
              </c:pt>
              <c:pt idx="91">
                <c:v>3.67717E-3</c:v>
              </c:pt>
              <c:pt idx="92">
                <c:v>3.7171600000000002E-3</c:v>
              </c:pt>
              <c:pt idx="93">
                <c:v>3.7571499999999999E-3</c:v>
              </c:pt>
              <c:pt idx="94">
                <c:v>3.79715E-3</c:v>
              </c:pt>
              <c:pt idx="95">
                <c:v>3.8371400000000002E-3</c:v>
              </c:pt>
              <c:pt idx="96">
                <c:v>3.8771299999999999E-3</c:v>
              </c:pt>
              <c:pt idx="97">
                <c:v>3.9171299999999996E-3</c:v>
              </c:pt>
              <c:pt idx="98">
                <c:v>3.9571199999999997E-3</c:v>
              </c:pt>
              <c:pt idx="99">
                <c:v>3.9971099999999999E-3</c:v>
              </c:pt>
              <c:pt idx="100">
                <c:v>4.03711E-3</c:v>
              </c:pt>
              <c:pt idx="101">
                <c:v>4.0771000000000002E-3</c:v>
              </c:pt>
              <c:pt idx="102">
                <c:v>4.1170900000000003E-3</c:v>
              </c:pt>
              <c:pt idx="103">
                <c:v>4.1570899999999996E-3</c:v>
              </c:pt>
              <c:pt idx="104">
                <c:v>4.1970799999999997E-3</c:v>
              </c:pt>
              <c:pt idx="105">
                <c:v>4.2370799999999998E-3</c:v>
              </c:pt>
              <c:pt idx="106">
                <c:v>4.27707E-3</c:v>
              </c:pt>
              <c:pt idx="107">
                <c:v>4.3170700000000001E-3</c:v>
              </c:pt>
              <c:pt idx="108">
                <c:v>4.3570700000000002E-3</c:v>
              </c:pt>
              <c:pt idx="109">
                <c:v>4.3970700000000003E-3</c:v>
              </c:pt>
              <c:pt idx="110">
                <c:v>4.4370700000000004E-3</c:v>
              </c:pt>
              <c:pt idx="111">
                <c:v>4.4770699999999997E-3</c:v>
              </c:pt>
              <c:pt idx="112">
                <c:v>4.5170599999999998E-3</c:v>
              </c:pt>
              <c:pt idx="113">
                <c:v>4.5570599999999999E-3</c:v>
              </c:pt>
              <c:pt idx="114">
                <c:v>4.59706E-3</c:v>
              </c:pt>
              <c:pt idx="115">
                <c:v>4.6370600000000001E-3</c:v>
              </c:pt>
              <c:pt idx="116">
                <c:v>4.6770600000000002E-3</c:v>
              </c:pt>
              <c:pt idx="117">
                <c:v>4.7170600000000003E-3</c:v>
              </c:pt>
              <c:pt idx="118">
                <c:v>4.7570599999999996E-3</c:v>
              </c:pt>
              <c:pt idx="119">
                <c:v>4.7970599999999997E-3</c:v>
              </c:pt>
              <c:pt idx="120">
                <c:v>4.8370499999999999E-3</c:v>
              </c:pt>
              <c:pt idx="121">
                <c:v>4.87705E-3</c:v>
              </c:pt>
              <c:pt idx="122">
                <c:v>4.9170500000000001E-3</c:v>
              </c:pt>
              <c:pt idx="123">
                <c:v>4.9570500000000002E-3</c:v>
              </c:pt>
              <c:pt idx="124">
                <c:v>4.9970500000000003E-3</c:v>
              </c:pt>
              <c:pt idx="125">
                <c:v>5.0370500000000004E-3</c:v>
              </c:pt>
              <c:pt idx="126">
                <c:v>5.0770499999999996E-3</c:v>
              </c:pt>
              <c:pt idx="127">
                <c:v>5.1170499999999997E-3</c:v>
              </c:pt>
              <c:pt idx="128">
                <c:v>5.1570499999999998E-3</c:v>
              </c:pt>
              <c:pt idx="129">
                <c:v>5.1970499999999999E-3</c:v>
              </c:pt>
              <c:pt idx="130">
                <c:v>5.23705E-3</c:v>
              </c:pt>
              <c:pt idx="131">
                <c:v>5.2770500000000001E-3</c:v>
              </c:pt>
              <c:pt idx="132">
                <c:v>5.3170500000000002E-3</c:v>
              </c:pt>
              <c:pt idx="133">
                <c:v>5.3570500000000004E-3</c:v>
              </c:pt>
              <c:pt idx="134">
                <c:v>5.3970499999999996E-3</c:v>
              </c:pt>
              <c:pt idx="135">
                <c:v>5.4370499999999997E-3</c:v>
              </c:pt>
              <c:pt idx="136">
                <c:v>5.4770599999999997E-3</c:v>
              </c:pt>
              <c:pt idx="137">
                <c:v>5.5170599999999998E-3</c:v>
              </c:pt>
              <c:pt idx="138">
                <c:v>5.55706E-3</c:v>
              </c:pt>
              <c:pt idx="139">
                <c:v>5.5970600000000001E-3</c:v>
              </c:pt>
              <c:pt idx="140">
                <c:v>5.6370600000000002E-3</c:v>
              </c:pt>
              <c:pt idx="141">
                <c:v>5.6770600000000003E-3</c:v>
              </c:pt>
              <c:pt idx="142">
                <c:v>5.7170600000000004E-3</c:v>
              </c:pt>
              <c:pt idx="143">
                <c:v>5.7570599999999996E-3</c:v>
              </c:pt>
              <c:pt idx="144">
                <c:v>5.7970599999999997E-3</c:v>
              </c:pt>
              <c:pt idx="145">
                <c:v>5.8370699999999998E-3</c:v>
              </c:pt>
              <c:pt idx="146">
                <c:v>5.8770699999999999E-3</c:v>
              </c:pt>
              <c:pt idx="147">
                <c:v>5.91707E-3</c:v>
              </c:pt>
              <c:pt idx="148">
                <c:v>5.9570700000000001E-3</c:v>
              </c:pt>
              <c:pt idx="149">
                <c:v>5.9970700000000002E-3</c:v>
              </c:pt>
              <c:pt idx="150">
                <c:v>6.0370700000000003E-3</c:v>
              </c:pt>
              <c:pt idx="151">
                <c:v>6.0770700000000004E-3</c:v>
              </c:pt>
              <c:pt idx="152">
                <c:v>6.1170699999999996E-3</c:v>
              </c:pt>
              <c:pt idx="153">
                <c:v>6.1570699999999997E-3</c:v>
              </c:pt>
              <c:pt idx="154">
                <c:v>6.1970799999999998E-3</c:v>
              </c:pt>
              <c:pt idx="155">
                <c:v>6.2370799999999999E-3</c:v>
              </c:pt>
              <c:pt idx="156">
                <c:v>6.27708E-3</c:v>
              </c:pt>
              <c:pt idx="157">
                <c:v>6.3170800000000001E-3</c:v>
              </c:pt>
              <c:pt idx="158">
                <c:v>6.3570800000000002E-3</c:v>
              </c:pt>
              <c:pt idx="159">
                <c:v>6.3970800000000003E-3</c:v>
              </c:pt>
              <c:pt idx="160">
                <c:v>6.4370800000000004E-3</c:v>
              </c:pt>
              <c:pt idx="161">
                <c:v>6.4770799999999996E-3</c:v>
              </c:pt>
              <c:pt idx="162">
                <c:v>6.5170899999999997E-3</c:v>
              </c:pt>
              <c:pt idx="163">
                <c:v>6.5570899999999998E-3</c:v>
              </c:pt>
              <c:pt idx="164">
                <c:v>6.5970899999999999E-3</c:v>
              </c:pt>
              <c:pt idx="165">
                <c:v>6.63709E-3</c:v>
              </c:pt>
              <c:pt idx="166">
                <c:v>6.6770900000000001E-3</c:v>
              </c:pt>
              <c:pt idx="167">
                <c:v>6.7170900000000002E-3</c:v>
              </c:pt>
              <c:pt idx="168">
                <c:v>6.7570900000000003E-3</c:v>
              </c:pt>
              <c:pt idx="169">
                <c:v>6.7970900000000004E-3</c:v>
              </c:pt>
              <c:pt idx="170">
                <c:v>6.8370899999999997E-3</c:v>
              </c:pt>
              <c:pt idx="171">
                <c:v>6.8770899999999998E-3</c:v>
              </c:pt>
              <c:pt idx="172">
                <c:v>6.9170899999999999E-3</c:v>
              </c:pt>
              <c:pt idx="173">
                <c:v>6.95709E-3</c:v>
              </c:pt>
              <c:pt idx="174">
                <c:v>6.9970900000000001E-3</c:v>
              </c:pt>
              <c:pt idx="175">
                <c:v>7.0370900000000002E-3</c:v>
              </c:pt>
              <c:pt idx="176">
                <c:v>7.0770900000000003E-3</c:v>
              </c:pt>
              <c:pt idx="177">
                <c:v>7.1170900000000004E-3</c:v>
              </c:pt>
              <c:pt idx="178">
                <c:v>7.1570899999999996E-3</c:v>
              </c:pt>
              <c:pt idx="179">
                <c:v>7.1970899999999997E-3</c:v>
              </c:pt>
              <c:pt idx="180">
                <c:v>7.2370899999999998E-3</c:v>
              </c:pt>
              <c:pt idx="181">
                <c:v>7.2770899999999999E-3</c:v>
              </c:pt>
              <c:pt idx="182">
                <c:v>7.3170900000000001E-3</c:v>
              </c:pt>
              <c:pt idx="183">
                <c:v>7.3570900000000002E-3</c:v>
              </c:pt>
              <c:pt idx="184">
                <c:v>7.3970900000000003E-3</c:v>
              </c:pt>
              <c:pt idx="185">
                <c:v>7.4370900000000004E-3</c:v>
              </c:pt>
              <c:pt idx="186">
                <c:v>7.4770899999999996E-3</c:v>
              </c:pt>
              <c:pt idx="187">
                <c:v>7.5170899999999997E-3</c:v>
              </c:pt>
              <c:pt idx="188">
                <c:v>7.5570899999999998E-3</c:v>
              </c:pt>
              <c:pt idx="189">
                <c:v>7.5970899999999999E-3</c:v>
              </c:pt>
              <c:pt idx="190">
                <c:v>7.63709E-3</c:v>
              </c:pt>
              <c:pt idx="191">
                <c:v>7.6770900000000001E-3</c:v>
              </c:pt>
              <c:pt idx="192">
                <c:v>7.7170900000000002E-3</c:v>
              </c:pt>
              <c:pt idx="193">
                <c:v>7.7570900000000003E-3</c:v>
              </c:pt>
              <c:pt idx="194">
                <c:v>7.7970899999999996E-3</c:v>
              </c:pt>
              <c:pt idx="195">
                <c:v>7.8370899999999997E-3</c:v>
              </c:pt>
              <c:pt idx="196">
                <c:v>7.8770899999999998E-3</c:v>
              </c:pt>
              <c:pt idx="197">
                <c:v>7.9170999999999998E-3</c:v>
              </c:pt>
              <c:pt idx="198">
                <c:v>7.9570999999999999E-3</c:v>
              </c:pt>
              <c:pt idx="199">
                <c:v>7.9971E-3</c:v>
              </c:pt>
              <c:pt idx="200">
                <c:v>8.0371000000000001E-3</c:v>
              </c:pt>
              <c:pt idx="201">
                <c:v>8.0771000000000003E-3</c:v>
              </c:pt>
              <c:pt idx="202">
                <c:v>8.1171000000000004E-3</c:v>
              </c:pt>
              <c:pt idx="203">
                <c:v>8.1571000000000005E-3</c:v>
              </c:pt>
              <c:pt idx="204">
                <c:v>8.1971000000000006E-3</c:v>
              </c:pt>
              <c:pt idx="205">
                <c:v>8.2371000000000007E-3</c:v>
              </c:pt>
              <c:pt idx="206">
                <c:v>8.2771000000000008E-3</c:v>
              </c:pt>
              <c:pt idx="207">
                <c:v>8.3170999999999991E-3</c:v>
              </c:pt>
              <c:pt idx="208">
                <c:v>8.3570999999999993E-3</c:v>
              </c:pt>
              <c:pt idx="209">
                <c:v>8.3970999999999994E-3</c:v>
              </c:pt>
              <c:pt idx="210">
                <c:v>8.4370999999999995E-3</c:v>
              </c:pt>
              <c:pt idx="211">
                <c:v>8.4770999999999996E-3</c:v>
              </c:pt>
              <c:pt idx="212">
                <c:v>8.5170999999999997E-3</c:v>
              </c:pt>
              <c:pt idx="213">
                <c:v>8.5570999999999998E-3</c:v>
              </c:pt>
              <c:pt idx="214">
                <c:v>8.5970999999999999E-3</c:v>
              </c:pt>
              <c:pt idx="215">
                <c:v>8.6371E-3</c:v>
              </c:pt>
              <c:pt idx="216">
                <c:v>8.6771000000000001E-3</c:v>
              </c:pt>
              <c:pt idx="217">
                <c:v>8.7171000000000002E-3</c:v>
              </c:pt>
              <c:pt idx="218">
                <c:v>8.7571000000000003E-3</c:v>
              </c:pt>
              <c:pt idx="219">
                <c:v>8.7971000000000004E-3</c:v>
              </c:pt>
              <c:pt idx="220">
                <c:v>8.8371000000000005E-3</c:v>
              </c:pt>
              <c:pt idx="221">
                <c:v>8.8771000000000006E-3</c:v>
              </c:pt>
              <c:pt idx="222">
                <c:v>8.9171000000000007E-3</c:v>
              </c:pt>
              <c:pt idx="223">
                <c:v>8.9571000000000008E-3</c:v>
              </c:pt>
              <c:pt idx="224">
                <c:v>8.9970999999999992E-3</c:v>
              </c:pt>
              <c:pt idx="225">
                <c:v>9.0370999999999993E-3</c:v>
              </c:pt>
              <c:pt idx="226">
                <c:v>9.0770999999999994E-3</c:v>
              </c:pt>
              <c:pt idx="227">
                <c:v>9.1170999999999995E-3</c:v>
              </c:pt>
              <c:pt idx="228">
                <c:v>9.1570999999999996E-3</c:v>
              </c:pt>
              <c:pt idx="229">
                <c:v>9.1970999999999997E-3</c:v>
              </c:pt>
              <c:pt idx="230">
                <c:v>9.2370999999999998E-3</c:v>
              </c:pt>
              <c:pt idx="231">
                <c:v>9.2771099999999999E-3</c:v>
              </c:pt>
              <c:pt idx="232">
                <c:v>9.3171199999999999E-3</c:v>
              </c:pt>
              <c:pt idx="233">
                <c:v>9.35712E-3</c:v>
              </c:pt>
              <c:pt idx="234">
                <c:v>9.3971300000000001E-3</c:v>
              </c:pt>
              <c:pt idx="235">
                <c:v>9.4371400000000001E-3</c:v>
              </c:pt>
              <c:pt idx="236">
                <c:v>9.4771400000000002E-3</c:v>
              </c:pt>
              <c:pt idx="237">
                <c:v>9.5171500000000003E-3</c:v>
              </c:pt>
              <c:pt idx="238">
                <c:v>9.5571600000000003E-3</c:v>
              </c:pt>
              <c:pt idx="239">
                <c:v>9.5971600000000004E-3</c:v>
              </c:pt>
              <c:pt idx="240">
                <c:v>9.6371700000000005E-3</c:v>
              </c:pt>
              <c:pt idx="241">
                <c:v>9.6771800000000005E-3</c:v>
              </c:pt>
              <c:pt idx="242">
                <c:v>9.7171800000000006E-3</c:v>
              </c:pt>
              <c:pt idx="243">
                <c:v>9.7571900000000007E-3</c:v>
              </c:pt>
              <c:pt idx="244">
                <c:v>9.7972000000000007E-3</c:v>
              </c:pt>
              <c:pt idx="245">
                <c:v>9.8372000000000008E-3</c:v>
              </c:pt>
              <c:pt idx="246">
                <c:v>9.8772100000000009E-3</c:v>
              </c:pt>
              <c:pt idx="247">
                <c:v>9.9172199999999992E-3</c:v>
              </c:pt>
              <c:pt idx="248">
                <c:v>9.9572199999999993E-3</c:v>
              </c:pt>
              <c:pt idx="249">
                <c:v>9.9972299999999993E-3</c:v>
              </c:pt>
              <c:pt idx="250">
                <c:v>1.00372E-2</c:v>
              </c:pt>
              <c:pt idx="251">
                <c:v>1.00772E-2</c:v>
              </c:pt>
              <c:pt idx="252">
                <c:v>1.01172E-2</c:v>
              </c:pt>
              <c:pt idx="253">
                <c:v>1.0157299999999999E-2</c:v>
              </c:pt>
              <c:pt idx="254">
                <c:v>1.0197299999999999E-2</c:v>
              </c:pt>
              <c:pt idx="255">
                <c:v>1.02373E-2</c:v>
              </c:pt>
              <c:pt idx="256">
                <c:v>1.02773E-2</c:v>
              </c:pt>
              <c:pt idx="257">
                <c:v>1.03173E-2</c:v>
              </c:pt>
              <c:pt idx="258">
                <c:v>1.03573E-2</c:v>
              </c:pt>
              <c:pt idx="259">
                <c:v>1.03973E-2</c:v>
              </c:pt>
              <c:pt idx="260">
                <c:v>1.04373E-2</c:v>
              </c:pt>
              <c:pt idx="261">
                <c:v>1.04773E-2</c:v>
              </c:pt>
              <c:pt idx="262">
                <c:v>1.05173E-2</c:v>
              </c:pt>
              <c:pt idx="263">
                <c:v>1.05573E-2</c:v>
              </c:pt>
              <c:pt idx="264">
                <c:v>1.05973E-2</c:v>
              </c:pt>
              <c:pt idx="265">
                <c:v>1.0637300000000001E-2</c:v>
              </c:pt>
              <c:pt idx="266">
                <c:v>1.0677300000000001E-2</c:v>
              </c:pt>
              <c:pt idx="267">
                <c:v>1.0717300000000001E-2</c:v>
              </c:pt>
              <c:pt idx="268">
                <c:v>1.07574E-2</c:v>
              </c:pt>
              <c:pt idx="269">
                <c:v>1.07974E-2</c:v>
              </c:pt>
              <c:pt idx="270">
                <c:v>1.0837400000000001E-2</c:v>
              </c:pt>
              <c:pt idx="271">
                <c:v>1.0877400000000001E-2</c:v>
              </c:pt>
              <c:pt idx="272">
                <c:v>1.0917400000000001E-2</c:v>
              </c:pt>
              <c:pt idx="273">
                <c:v>1.0957400000000001E-2</c:v>
              </c:pt>
              <c:pt idx="274">
                <c:v>1.0997399999999999E-2</c:v>
              </c:pt>
              <c:pt idx="275">
                <c:v>1.1037399999999999E-2</c:v>
              </c:pt>
              <c:pt idx="276">
                <c:v>1.1077399999999999E-2</c:v>
              </c:pt>
              <c:pt idx="277">
                <c:v>1.11174E-2</c:v>
              </c:pt>
              <c:pt idx="278">
                <c:v>1.11574E-2</c:v>
              </c:pt>
              <c:pt idx="279">
                <c:v>1.11974E-2</c:v>
              </c:pt>
              <c:pt idx="280">
                <c:v>1.12374E-2</c:v>
              </c:pt>
              <c:pt idx="281">
                <c:v>1.12774E-2</c:v>
              </c:pt>
              <c:pt idx="282">
                <c:v>1.13174E-2</c:v>
              </c:pt>
              <c:pt idx="283">
                <c:v>1.13575E-2</c:v>
              </c:pt>
              <c:pt idx="284">
                <c:v>1.13975E-2</c:v>
              </c:pt>
              <c:pt idx="285">
                <c:v>1.14375E-2</c:v>
              </c:pt>
              <c:pt idx="286">
                <c:v>1.14775E-2</c:v>
              </c:pt>
              <c:pt idx="287">
                <c:v>1.15175E-2</c:v>
              </c:pt>
              <c:pt idx="288">
                <c:v>1.15575E-2</c:v>
              </c:pt>
              <c:pt idx="289">
                <c:v>1.15975E-2</c:v>
              </c:pt>
              <c:pt idx="290">
                <c:v>1.16375E-2</c:v>
              </c:pt>
              <c:pt idx="291">
                <c:v>1.16775E-2</c:v>
              </c:pt>
              <c:pt idx="292">
                <c:v>1.17175E-2</c:v>
              </c:pt>
              <c:pt idx="293">
                <c:v>1.1757500000000001E-2</c:v>
              </c:pt>
              <c:pt idx="294">
                <c:v>1.1797500000000001E-2</c:v>
              </c:pt>
              <c:pt idx="295">
                <c:v>1.1837500000000001E-2</c:v>
              </c:pt>
              <c:pt idx="296">
                <c:v>1.1877499999999999E-2</c:v>
              </c:pt>
              <c:pt idx="297">
                <c:v>1.1917499999999999E-2</c:v>
              </c:pt>
              <c:pt idx="298">
                <c:v>1.1957600000000001E-2</c:v>
              </c:pt>
              <c:pt idx="299">
                <c:v>1.1997600000000001E-2</c:v>
              </c:pt>
              <c:pt idx="300">
                <c:v>1.2037600000000001E-2</c:v>
              </c:pt>
              <c:pt idx="301">
                <c:v>1.2077600000000001E-2</c:v>
              </c:pt>
              <c:pt idx="302">
                <c:v>1.2117599999999999E-2</c:v>
              </c:pt>
              <c:pt idx="303">
                <c:v>1.2157599999999999E-2</c:v>
              </c:pt>
              <c:pt idx="304">
                <c:v>1.2197599999999999E-2</c:v>
              </c:pt>
              <c:pt idx="305">
                <c:v>1.22376E-2</c:v>
              </c:pt>
              <c:pt idx="306">
                <c:v>1.22776E-2</c:v>
              </c:pt>
              <c:pt idx="307">
                <c:v>1.23176E-2</c:v>
              </c:pt>
              <c:pt idx="308">
                <c:v>1.23576E-2</c:v>
              </c:pt>
              <c:pt idx="309">
                <c:v>1.23976E-2</c:v>
              </c:pt>
              <c:pt idx="310">
                <c:v>1.24376E-2</c:v>
              </c:pt>
              <c:pt idx="311">
                <c:v>1.24776E-2</c:v>
              </c:pt>
              <c:pt idx="312">
                <c:v>1.25176E-2</c:v>
              </c:pt>
              <c:pt idx="313">
                <c:v>1.25577E-2</c:v>
              </c:pt>
              <c:pt idx="314">
                <c:v>1.25977E-2</c:v>
              </c:pt>
              <c:pt idx="315">
                <c:v>1.26377E-2</c:v>
              </c:pt>
              <c:pt idx="316">
                <c:v>1.26777E-2</c:v>
              </c:pt>
              <c:pt idx="317">
                <c:v>1.27177E-2</c:v>
              </c:pt>
              <c:pt idx="318">
                <c:v>1.27577E-2</c:v>
              </c:pt>
              <c:pt idx="319">
                <c:v>1.27977E-2</c:v>
              </c:pt>
              <c:pt idx="320">
                <c:v>1.28377E-2</c:v>
              </c:pt>
              <c:pt idx="321">
                <c:v>1.2877700000000001E-2</c:v>
              </c:pt>
              <c:pt idx="322">
                <c:v>1.2917700000000001E-2</c:v>
              </c:pt>
              <c:pt idx="323">
                <c:v>1.2957700000000001E-2</c:v>
              </c:pt>
              <c:pt idx="324">
                <c:v>1.2997699999999999E-2</c:v>
              </c:pt>
              <c:pt idx="325">
                <c:v>1.3037699999999999E-2</c:v>
              </c:pt>
              <c:pt idx="326">
                <c:v>1.3077699999999999E-2</c:v>
              </c:pt>
              <c:pt idx="327">
                <c:v>1.3117699999999999E-2</c:v>
              </c:pt>
              <c:pt idx="328">
                <c:v>1.31577E-2</c:v>
              </c:pt>
              <c:pt idx="329">
                <c:v>1.3197800000000001E-2</c:v>
              </c:pt>
              <c:pt idx="330">
                <c:v>1.3237799999999999E-2</c:v>
              </c:pt>
              <c:pt idx="331">
                <c:v>1.3277799999999999E-2</c:v>
              </c:pt>
              <c:pt idx="332">
                <c:v>1.3317799999999999E-2</c:v>
              </c:pt>
              <c:pt idx="333">
                <c:v>1.33578E-2</c:v>
              </c:pt>
              <c:pt idx="334">
                <c:v>1.33978E-2</c:v>
              </c:pt>
              <c:pt idx="335">
                <c:v>1.34378E-2</c:v>
              </c:pt>
              <c:pt idx="336">
                <c:v>1.34778E-2</c:v>
              </c:pt>
              <c:pt idx="337">
                <c:v>1.35178E-2</c:v>
              </c:pt>
              <c:pt idx="338">
                <c:v>1.35578E-2</c:v>
              </c:pt>
              <c:pt idx="339">
                <c:v>1.35978E-2</c:v>
              </c:pt>
              <c:pt idx="340">
                <c:v>1.36378E-2</c:v>
              </c:pt>
              <c:pt idx="341">
                <c:v>1.36778E-2</c:v>
              </c:pt>
              <c:pt idx="342">
                <c:v>1.37179E-2</c:v>
              </c:pt>
              <c:pt idx="343">
                <c:v>1.37579E-2</c:v>
              </c:pt>
              <c:pt idx="344">
                <c:v>1.37979E-2</c:v>
              </c:pt>
              <c:pt idx="345">
                <c:v>1.38379E-2</c:v>
              </c:pt>
              <c:pt idx="346">
                <c:v>1.3878E-2</c:v>
              </c:pt>
              <c:pt idx="347">
                <c:v>1.3918E-2</c:v>
              </c:pt>
              <c:pt idx="348">
                <c:v>1.3958E-2</c:v>
              </c:pt>
              <c:pt idx="349">
                <c:v>1.3998E-2</c:v>
              </c:pt>
              <c:pt idx="350">
                <c:v>1.40381E-2</c:v>
              </c:pt>
              <c:pt idx="351">
                <c:v>1.40781E-2</c:v>
              </c:pt>
              <c:pt idx="352">
                <c:v>1.41181E-2</c:v>
              </c:pt>
              <c:pt idx="353">
                <c:v>1.41581E-2</c:v>
              </c:pt>
              <c:pt idx="354">
                <c:v>1.4198199999999999E-2</c:v>
              </c:pt>
              <c:pt idx="355">
                <c:v>1.4238199999999999E-2</c:v>
              </c:pt>
              <c:pt idx="356">
                <c:v>1.42782E-2</c:v>
              </c:pt>
              <c:pt idx="357">
                <c:v>1.43182E-2</c:v>
              </c:pt>
              <c:pt idx="358">
                <c:v>1.43582E-2</c:v>
              </c:pt>
              <c:pt idx="359">
                <c:v>1.4398299999999999E-2</c:v>
              </c:pt>
              <c:pt idx="360">
                <c:v>1.4438299999999999E-2</c:v>
              </c:pt>
              <c:pt idx="361">
                <c:v>1.44783E-2</c:v>
              </c:pt>
              <c:pt idx="362">
                <c:v>1.45183E-2</c:v>
              </c:pt>
              <c:pt idx="363">
                <c:v>1.4558400000000001E-2</c:v>
              </c:pt>
              <c:pt idx="364">
                <c:v>1.4598399999999999E-2</c:v>
              </c:pt>
              <c:pt idx="365">
                <c:v>1.4638399999999999E-2</c:v>
              </c:pt>
              <c:pt idx="366">
                <c:v>1.4678399999999999E-2</c:v>
              </c:pt>
              <c:pt idx="367">
                <c:v>1.4718500000000001E-2</c:v>
              </c:pt>
              <c:pt idx="368">
                <c:v>1.4758500000000001E-2</c:v>
              </c:pt>
              <c:pt idx="369">
                <c:v>1.4798499999999999E-2</c:v>
              </c:pt>
              <c:pt idx="370">
                <c:v>1.4838499999999999E-2</c:v>
              </c:pt>
              <c:pt idx="371">
                <c:v>1.4878600000000001E-2</c:v>
              </c:pt>
              <c:pt idx="372">
                <c:v>1.4918600000000001E-2</c:v>
              </c:pt>
              <c:pt idx="373">
                <c:v>1.4958600000000001E-2</c:v>
              </c:pt>
              <c:pt idx="374">
                <c:v>1.4998600000000001E-2</c:v>
              </c:pt>
              <c:pt idx="375">
                <c:v>1.50387E-2</c:v>
              </c:pt>
              <c:pt idx="376">
                <c:v>1.50787E-2</c:v>
              </c:pt>
              <c:pt idx="377">
                <c:v>1.5118700000000001E-2</c:v>
              </c:pt>
              <c:pt idx="378">
                <c:v>1.5158700000000001E-2</c:v>
              </c:pt>
              <c:pt idx="379">
                <c:v>1.5198700000000001E-2</c:v>
              </c:pt>
              <c:pt idx="380">
                <c:v>1.52388E-2</c:v>
              </c:pt>
              <c:pt idx="381">
                <c:v>1.52788E-2</c:v>
              </c:pt>
              <c:pt idx="382">
                <c:v>1.53188E-2</c:v>
              </c:pt>
              <c:pt idx="383">
                <c:v>1.5358800000000001E-2</c:v>
              </c:pt>
              <c:pt idx="384">
                <c:v>1.53989E-2</c:v>
              </c:pt>
              <c:pt idx="385">
                <c:v>1.54389E-2</c:v>
              </c:pt>
              <c:pt idx="386">
                <c:v>1.54789E-2</c:v>
              </c:pt>
              <c:pt idx="387">
                <c:v>1.55189E-2</c:v>
              </c:pt>
              <c:pt idx="388">
                <c:v>1.5559E-2</c:v>
              </c:pt>
              <c:pt idx="389">
                <c:v>1.5599E-2</c:v>
              </c:pt>
              <c:pt idx="390">
                <c:v>1.5639E-2</c:v>
              </c:pt>
              <c:pt idx="391">
                <c:v>1.5678999999999998E-2</c:v>
              </c:pt>
              <c:pt idx="392">
                <c:v>1.57191E-2</c:v>
              </c:pt>
              <c:pt idx="393">
                <c:v>1.5759100000000002E-2</c:v>
              </c:pt>
              <c:pt idx="394">
                <c:v>1.57991E-2</c:v>
              </c:pt>
              <c:pt idx="395">
                <c:v>1.5839099999999998E-2</c:v>
              </c:pt>
              <c:pt idx="396">
                <c:v>1.58792E-2</c:v>
              </c:pt>
              <c:pt idx="397">
                <c:v>1.5919200000000001E-2</c:v>
              </c:pt>
              <c:pt idx="398">
                <c:v>1.59592E-2</c:v>
              </c:pt>
              <c:pt idx="399">
                <c:v>1.5999200000000002E-2</c:v>
              </c:pt>
              <c:pt idx="400">
                <c:v>1.60392E-2</c:v>
              </c:pt>
              <c:pt idx="401">
                <c:v>1.6079300000000001E-2</c:v>
              </c:pt>
              <c:pt idx="402">
                <c:v>1.61193E-2</c:v>
              </c:pt>
              <c:pt idx="403">
                <c:v>1.6159300000000001E-2</c:v>
              </c:pt>
              <c:pt idx="404">
                <c:v>1.61993E-2</c:v>
              </c:pt>
              <c:pt idx="405">
                <c:v>1.6239400000000001E-2</c:v>
              </c:pt>
              <c:pt idx="406">
                <c:v>1.6279399999999999E-2</c:v>
              </c:pt>
              <c:pt idx="407">
                <c:v>1.6319400000000001E-2</c:v>
              </c:pt>
              <c:pt idx="408">
                <c:v>1.63594E-2</c:v>
              </c:pt>
              <c:pt idx="409">
                <c:v>1.6399500000000001E-2</c:v>
              </c:pt>
              <c:pt idx="410">
                <c:v>1.6439499999999999E-2</c:v>
              </c:pt>
              <c:pt idx="411">
                <c:v>1.6479500000000001E-2</c:v>
              </c:pt>
              <c:pt idx="412">
                <c:v>1.6519499999999999E-2</c:v>
              </c:pt>
              <c:pt idx="413">
                <c:v>1.6559600000000001E-2</c:v>
              </c:pt>
              <c:pt idx="414">
                <c:v>1.6599599999999999E-2</c:v>
              </c:pt>
              <c:pt idx="415">
                <c:v>1.6639600000000001E-2</c:v>
              </c:pt>
              <c:pt idx="416">
                <c:v>1.6679599999999999E-2</c:v>
              </c:pt>
              <c:pt idx="417">
                <c:v>1.6719700000000001E-2</c:v>
              </c:pt>
              <c:pt idx="418">
                <c:v>1.6759699999999999E-2</c:v>
              </c:pt>
              <c:pt idx="419">
                <c:v>1.6799700000000001E-2</c:v>
              </c:pt>
              <c:pt idx="420">
                <c:v>1.6839699999999999E-2</c:v>
              </c:pt>
              <c:pt idx="421">
                <c:v>1.68798E-2</c:v>
              </c:pt>
              <c:pt idx="422">
                <c:v>1.6919799999999999E-2</c:v>
              </c:pt>
              <c:pt idx="423">
                <c:v>1.6959800000000001E-2</c:v>
              </c:pt>
              <c:pt idx="424">
                <c:v>1.6999799999999999E-2</c:v>
              </c:pt>
              <c:pt idx="425">
                <c:v>1.7039800000000001E-2</c:v>
              </c:pt>
              <c:pt idx="426">
                <c:v>1.7079899999999999E-2</c:v>
              </c:pt>
              <c:pt idx="427">
                <c:v>1.71199E-2</c:v>
              </c:pt>
              <c:pt idx="428">
                <c:v>1.7159899999999999E-2</c:v>
              </c:pt>
              <c:pt idx="429">
                <c:v>1.7199900000000001E-2</c:v>
              </c:pt>
              <c:pt idx="430">
                <c:v>1.7239999999999998E-2</c:v>
              </c:pt>
              <c:pt idx="431">
                <c:v>1.728E-2</c:v>
              </c:pt>
              <c:pt idx="432">
                <c:v>1.7319999999999999E-2</c:v>
              </c:pt>
              <c:pt idx="433">
                <c:v>1.736E-2</c:v>
              </c:pt>
              <c:pt idx="434">
                <c:v>1.7400100000000002E-2</c:v>
              </c:pt>
              <c:pt idx="435">
                <c:v>1.74401E-2</c:v>
              </c:pt>
              <c:pt idx="436">
                <c:v>1.7480099999999998E-2</c:v>
              </c:pt>
              <c:pt idx="437">
                <c:v>1.75201E-2</c:v>
              </c:pt>
              <c:pt idx="438">
                <c:v>1.7560200000000002E-2</c:v>
              </c:pt>
              <c:pt idx="439">
                <c:v>1.76002E-2</c:v>
              </c:pt>
              <c:pt idx="440">
                <c:v>1.7640200000000002E-2</c:v>
              </c:pt>
              <c:pt idx="441">
                <c:v>1.76802E-2</c:v>
              </c:pt>
              <c:pt idx="442">
                <c:v>1.7720300000000001E-2</c:v>
              </c:pt>
              <c:pt idx="443">
                <c:v>1.77603E-2</c:v>
              </c:pt>
              <c:pt idx="444">
                <c:v>1.7800300000000002E-2</c:v>
              </c:pt>
              <c:pt idx="445">
                <c:v>1.78403E-2</c:v>
              </c:pt>
              <c:pt idx="446">
                <c:v>1.7880299999999998E-2</c:v>
              </c:pt>
              <c:pt idx="447">
                <c:v>1.79204E-2</c:v>
              </c:pt>
              <c:pt idx="448">
                <c:v>1.7960400000000001E-2</c:v>
              </c:pt>
              <c:pt idx="449">
                <c:v>1.80004E-2</c:v>
              </c:pt>
              <c:pt idx="450">
                <c:v>1.8040400000000002E-2</c:v>
              </c:pt>
              <c:pt idx="451">
                <c:v>1.8080499999999999E-2</c:v>
              </c:pt>
              <c:pt idx="452">
                <c:v>1.8120500000000001E-2</c:v>
              </c:pt>
              <c:pt idx="453">
                <c:v>1.81605E-2</c:v>
              </c:pt>
              <c:pt idx="454">
                <c:v>1.8200500000000001E-2</c:v>
              </c:pt>
              <c:pt idx="455">
                <c:v>1.8240599999999999E-2</c:v>
              </c:pt>
              <c:pt idx="456">
                <c:v>1.8280600000000001E-2</c:v>
              </c:pt>
              <c:pt idx="457">
                <c:v>1.8320599999999999E-2</c:v>
              </c:pt>
              <c:pt idx="458">
                <c:v>1.8360600000000001E-2</c:v>
              </c:pt>
              <c:pt idx="459">
                <c:v>1.8400699999999999E-2</c:v>
              </c:pt>
              <c:pt idx="460">
                <c:v>1.8440700000000001E-2</c:v>
              </c:pt>
              <c:pt idx="461">
                <c:v>1.8480699999999999E-2</c:v>
              </c:pt>
              <c:pt idx="462">
                <c:v>1.8520700000000001E-2</c:v>
              </c:pt>
              <c:pt idx="463">
                <c:v>1.8560699999999999E-2</c:v>
              </c:pt>
              <c:pt idx="464">
                <c:v>1.8600800000000001E-2</c:v>
              </c:pt>
              <c:pt idx="465">
                <c:v>1.8640799999999999E-2</c:v>
              </c:pt>
              <c:pt idx="466">
                <c:v>1.8680800000000001E-2</c:v>
              </c:pt>
              <c:pt idx="467">
                <c:v>1.8720799999999999E-2</c:v>
              </c:pt>
              <c:pt idx="468">
                <c:v>1.87609E-2</c:v>
              </c:pt>
              <c:pt idx="469">
                <c:v>1.8800899999999999E-2</c:v>
              </c:pt>
              <c:pt idx="470">
                <c:v>1.8840900000000001E-2</c:v>
              </c:pt>
              <c:pt idx="471">
                <c:v>1.8880899999999999E-2</c:v>
              </c:pt>
              <c:pt idx="472">
                <c:v>1.8921E-2</c:v>
              </c:pt>
              <c:pt idx="473">
                <c:v>1.8960999999999999E-2</c:v>
              </c:pt>
              <c:pt idx="474">
                <c:v>1.9001000000000001E-2</c:v>
              </c:pt>
              <c:pt idx="475">
                <c:v>1.9040999999999999E-2</c:v>
              </c:pt>
              <c:pt idx="476">
                <c:v>1.90811E-2</c:v>
              </c:pt>
              <c:pt idx="477">
                <c:v>1.9121099999999999E-2</c:v>
              </c:pt>
              <c:pt idx="478">
                <c:v>1.91611E-2</c:v>
              </c:pt>
              <c:pt idx="479">
                <c:v>1.9201099999999999E-2</c:v>
              </c:pt>
              <c:pt idx="480">
                <c:v>1.92412E-2</c:v>
              </c:pt>
              <c:pt idx="481">
                <c:v>1.9281199999999998E-2</c:v>
              </c:pt>
              <c:pt idx="482">
                <c:v>1.93212E-2</c:v>
              </c:pt>
              <c:pt idx="483">
                <c:v>1.9361199999999999E-2</c:v>
              </c:pt>
              <c:pt idx="484">
                <c:v>1.94012E-2</c:v>
              </c:pt>
              <c:pt idx="485">
                <c:v>1.9441300000000002E-2</c:v>
              </c:pt>
              <c:pt idx="486">
                <c:v>1.94813E-2</c:v>
              </c:pt>
              <c:pt idx="487">
                <c:v>1.9521299999999998E-2</c:v>
              </c:pt>
              <c:pt idx="488">
                <c:v>1.95613E-2</c:v>
              </c:pt>
              <c:pt idx="489">
                <c:v>1.9601400000000001E-2</c:v>
              </c:pt>
              <c:pt idx="490">
                <c:v>1.96414E-2</c:v>
              </c:pt>
              <c:pt idx="491">
                <c:v>1.9681400000000002E-2</c:v>
              </c:pt>
              <c:pt idx="492">
                <c:v>1.97214E-2</c:v>
              </c:pt>
              <c:pt idx="493">
                <c:v>1.9761500000000001E-2</c:v>
              </c:pt>
              <c:pt idx="494">
                <c:v>1.98015E-2</c:v>
              </c:pt>
              <c:pt idx="495">
                <c:v>1.9841500000000001E-2</c:v>
              </c:pt>
              <c:pt idx="496">
                <c:v>1.98815E-2</c:v>
              </c:pt>
              <c:pt idx="497">
                <c:v>1.9921600000000001E-2</c:v>
              </c:pt>
              <c:pt idx="498">
                <c:v>1.9961599999999999E-2</c:v>
              </c:pt>
              <c:pt idx="499">
                <c:v>2.0001600000000001E-2</c:v>
              </c:pt>
              <c:pt idx="500">
                <c:v>2.00416E-2</c:v>
              </c:pt>
              <c:pt idx="501">
                <c:v>2.0081600000000002E-2</c:v>
              </c:pt>
              <c:pt idx="502">
                <c:v>2.0121699999999999E-2</c:v>
              </c:pt>
              <c:pt idx="503">
                <c:v>2.0161700000000001E-2</c:v>
              </c:pt>
              <c:pt idx="504">
                <c:v>2.02017E-2</c:v>
              </c:pt>
              <c:pt idx="505">
                <c:v>2.0241700000000001E-2</c:v>
              </c:pt>
              <c:pt idx="506">
                <c:v>2.0281799999999999E-2</c:v>
              </c:pt>
              <c:pt idx="507">
                <c:v>2.0321800000000001E-2</c:v>
              </c:pt>
              <c:pt idx="508">
                <c:v>2.0361799999999999E-2</c:v>
              </c:pt>
              <c:pt idx="509">
                <c:v>2.0401800000000001E-2</c:v>
              </c:pt>
              <c:pt idx="510">
                <c:v>2.0441899999999999E-2</c:v>
              </c:pt>
              <c:pt idx="511">
                <c:v>2.0481900000000001E-2</c:v>
              </c:pt>
              <c:pt idx="512">
                <c:v>2.0521899999999999E-2</c:v>
              </c:pt>
              <c:pt idx="513">
                <c:v>2.0561900000000001E-2</c:v>
              </c:pt>
              <c:pt idx="514">
                <c:v>2.0601999999999999E-2</c:v>
              </c:pt>
              <c:pt idx="515">
                <c:v>2.0642000000000001E-2</c:v>
              </c:pt>
              <c:pt idx="516">
                <c:v>2.0681999999999999E-2</c:v>
              </c:pt>
              <c:pt idx="517">
                <c:v>2.0722000000000001E-2</c:v>
              </c:pt>
              <c:pt idx="518">
                <c:v>2.0761999999999999E-2</c:v>
              </c:pt>
              <c:pt idx="519">
                <c:v>2.08021E-2</c:v>
              </c:pt>
              <c:pt idx="520">
                <c:v>2.0842099999999999E-2</c:v>
              </c:pt>
              <c:pt idx="521">
                <c:v>2.0882100000000001E-2</c:v>
              </c:pt>
              <c:pt idx="522">
                <c:v>2.0922099999999999E-2</c:v>
              </c:pt>
              <c:pt idx="523">
                <c:v>2.09622E-2</c:v>
              </c:pt>
              <c:pt idx="524">
                <c:v>2.1002199999999999E-2</c:v>
              </c:pt>
              <c:pt idx="525">
                <c:v>2.10422E-2</c:v>
              </c:pt>
              <c:pt idx="526">
                <c:v>2.1082199999999999E-2</c:v>
              </c:pt>
              <c:pt idx="527">
                <c:v>2.11223E-2</c:v>
              </c:pt>
              <c:pt idx="528">
                <c:v>2.1162299999999998E-2</c:v>
              </c:pt>
              <c:pt idx="529">
                <c:v>2.12023E-2</c:v>
              </c:pt>
              <c:pt idx="530">
                <c:v>2.1242299999999999E-2</c:v>
              </c:pt>
              <c:pt idx="531">
                <c:v>2.12824E-2</c:v>
              </c:pt>
              <c:pt idx="532">
                <c:v>2.1322399999999998E-2</c:v>
              </c:pt>
              <c:pt idx="533">
                <c:v>2.13624E-2</c:v>
              </c:pt>
              <c:pt idx="534">
                <c:v>2.1402399999999999E-2</c:v>
              </c:pt>
              <c:pt idx="535">
                <c:v>2.14424E-2</c:v>
              </c:pt>
              <c:pt idx="536">
                <c:v>2.1482500000000002E-2</c:v>
              </c:pt>
              <c:pt idx="537">
                <c:v>2.15225E-2</c:v>
              </c:pt>
              <c:pt idx="538">
                <c:v>2.1562499999999998E-2</c:v>
              </c:pt>
              <c:pt idx="539">
                <c:v>2.16025E-2</c:v>
              </c:pt>
              <c:pt idx="540">
                <c:v>2.1642600000000001E-2</c:v>
              </c:pt>
              <c:pt idx="541">
                <c:v>2.16826E-2</c:v>
              </c:pt>
              <c:pt idx="542">
                <c:v>2.1722600000000002E-2</c:v>
              </c:pt>
              <c:pt idx="543">
                <c:v>2.17626E-2</c:v>
              </c:pt>
              <c:pt idx="544">
                <c:v>2.1802700000000001E-2</c:v>
              </c:pt>
              <c:pt idx="545">
                <c:v>2.18427E-2</c:v>
              </c:pt>
              <c:pt idx="546">
                <c:v>2.1882700000000001E-2</c:v>
              </c:pt>
              <c:pt idx="547">
                <c:v>2.19227E-2</c:v>
              </c:pt>
              <c:pt idx="548">
                <c:v>2.1962800000000001E-2</c:v>
              </c:pt>
              <c:pt idx="549">
                <c:v>2.2002799999999999E-2</c:v>
              </c:pt>
              <c:pt idx="550">
                <c:v>2.2042800000000001E-2</c:v>
              </c:pt>
              <c:pt idx="551">
                <c:v>2.20828E-2</c:v>
              </c:pt>
              <c:pt idx="552">
                <c:v>2.2122800000000001E-2</c:v>
              </c:pt>
              <c:pt idx="553">
                <c:v>2.2162899999999999E-2</c:v>
              </c:pt>
              <c:pt idx="554">
                <c:v>2.2202900000000001E-2</c:v>
              </c:pt>
              <c:pt idx="555">
                <c:v>2.2242899999999999E-2</c:v>
              </c:pt>
              <c:pt idx="556">
                <c:v>2.2282900000000001E-2</c:v>
              </c:pt>
              <c:pt idx="557">
                <c:v>2.23229E-2</c:v>
              </c:pt>
              <c:pt idx="558">
                <c:v>2.2363000000000001E-2</c:v>
              </c:pt>
              <c:pt idx="559">
                <c:v>2.2402999999999999E-2</c:v>
              </c:pt>
              <c:pt idx="560">
                <c:v>2.2443000000000001E-2</c:v>
              </c:pt>
              <c:pt idx="561">
                <c:v>2.2483E-2</c:v>
              </c:pt>
              <c:pt idx="562">
                <c:v>2.2523100000000001E-2</c:v>
              </c:pt>
              <c:pt idx="563">
                <c:v>2.2563099999999999E-2</c:v>
              </c:pt>
              <c:pt idx="564">
                <c:v>2.2603100000000001E-2</c:v>
              </c:pt>
              <c:pt idx="565">
                <c:v>2.2643099999999999E-2</c:v>
              </c:pt>
              <c:pt idx="566">
                <c:v>2.2683100000000001E-2</c:v>
              </c:pt>
              <c:pt idx="567">
                <c:v>2.2723199999999999E-2</c:v>
              </c:pt>
              <c:pt idx="568">
                <c:v>2.2763200000000001E-2</c:v>
              </c:pt>
              <c:pt idx="569">
                <c:v>2.2803199999999999E-2</c:v>
              </c:pt>
              <c:pt idx="570">
                <c:v>2.2843200000000001E-2</c:v>
              </c:pt>
              <c:pt idx="571">
                <c:v>2.2883299999999999E-2</c:v>
              </c:pt>
              <c:pt idx="572">
                <c:v>2.2923300000000001E-2</c:v>
              </c:pt>
              <c:pt idx="573">
                <c:v>2.2963299999999999E-2</c:v>
              </c:pt>
              <c:pt idx="574">
                <c:v>2.3003300000000001E-2</c:v>
              </c:pt>
              <c:pt idx="575">
                <c:v>2.3043299999999999E-2</c:v>
              </c:pt>
              <c:pt idx="576">
                <c:v>2.30834E-2</c:v>
              </c:pt>
              <c:pt idx="577">
                <c:v>2.3123399999999999E-2</c:v>
              </c:pt>
              <c:pt idx="578">
                <c:v>2.3163400000000001E-2</c:v>
              </c:pt>
              <c:pt idx="579">
                <c:v>2.3203399999999999E-2</c:v>
              </c:pt>
              <c:pt idx="580">
                <c:v>2.3243400000000001E-2</c:v>
              </c:pt>
              <c:pt idx="581">
                <c:v>2.3283499999999999E-2</c:v>
              </c:pt>
              <c:pt idx="582">
                <c:v>2.33235E-2</c:v>
              </c:pt>
              <c:pt idx="583">
                <c:v>2.3363499999999999E-2</c:v>
              </c:pt>
              <c:pt idx="584">
                <c:v>2.3403500000000001E-2</c:v>
              </c:pt>
              <c:pt idx="585">
                <c:v>2.3443499999999999E-2</c:v>
              </c:pt>
              <c:pt idx="586">
                <c:v>2.34836E-2</c:v>
              </c:pt>
              <c:pt idx="587">
                <c:v>2.3523599999999999E-2</c:v>
              </c:pt>
              <c:pt idx="588">
                <c:v>2.3563600000000001E-2</c:v>
              </c:pt>
              <c:pt idx="589">
                <c:v>2.3603599999999999E-2</c:v>
              </c:pt>
              <c:pt idx="590">
                <c:v>2.3643600000000001E-2</c:v>
              </c:pt>
              <c:pt idx="591">
                <c:v>2.3683599999999999E-2</c:v>
              </c:pt>
              <c:pt idx="592">
                <c:v>2.37237E-2</c:v>
              </c:pt>
              <c:pt idx="593">
                <c:v>2.3763699999999999E-2</c:v>
              </c:pt>
              <c:pt idx="594">
                <c:v>2.3803700000000001E-2</c:v>
              </c:pt>
              <c:pt idx="595">
                <c:v>2.3843699999999999E-2</c:v>
              </c:pt>
              <c:pt idx="596">
                <c:v>2.3883700000000001E-2</c:v>
              </c:pt>
              <c:pt idx="597">
                <c:v>2.3923799999999999E-2</c:v>
              </c:pt>
              <c:pt idx="598">
                <c:v>2.39638E-2</c:v>
              </c:pt>
              <c:pt idx="599">
                <c:v>2.4003799999999999E-2</c:v>
              </c:pt>
              <c:pt idx="600">
                <c:v>2.4043800000000001E-2</c:v>
              </c:pt>
              <c:pt idx="601">
                <c:v>2.4083799999999999E-2</c:v>
              </c:pt>
              <c:pt idx="602">
                <c:v>2.4123800000000001E-2</c:v>
              </c:pt>
              <c:pt idx="603">
                <c:v>2.4163899999999999E-2</c:v>
              </c:pt>
              <c:pt idx="604">
                <c:v>2.42039E-2</c:v>
              </c:pt>
              <c:pt idx="605">
                <c:v>2.4243899999999999E-2</c:v>
              </c:pt>
              <c:pt idx="606">
                <c:v>2.4283900000000001E-2</c:v>
              </c:pt>
              <c:pt idx="607">
                <c:v>2.4323899999999999E-2</c:v>
              </c:pt>
              <c:pt idx="608">
                <c:v>2.4364E-2</c:v>
              </c:pt>
              <c:pt idx="609">
                <c:v>2.4403999999999999E-2</c:v>
              </c:pt>
              <c:pt idx="610">
                <c:v>2.4444E-2</c:v>
              </c:pt>
              <c:pt idx="611">
                <c:v>2.4483999999999999E-2</c:v>
              </c:pt>
              <c:pt idx="612">
                <c:v>2.4524000000000001E-2</c:v>
              </c:pt>
              <c:pt idx="613">
                <c:v>2.4563999999999999E-2</c:v>
              </c:pt>
              <c:pt idx="614">
                <c:v>2.46041E-2</c:v>
              </c:pt>
              <c:pt idx="615">
                <c:v>2.4644099999999999E-2</c:v>
              </c:pt>
              <c:pt idx="616">
                <c:v>2.46841E-2</c:v>
              </c:pt>
              <c:pt idx="617">
                <c:v>2.4724099999999999E-2</c:v>
              </c:pt>
              <c:pt idx="618">
                <c:v>2.4764100000000001E-2</c:v>
              </c:pt>
              <c:pt idx="619">
                <c:v>2.4804199999999998E-2</c:v>
              </c:pt>
              <c:pt idx="620">
                <c:v>2.48442E-2</c:v>
              </c:pt>
              <c:pt idx="621">
                <c:v>2.4884199999999999E-2</c:v>
              </c:pt>
              <c:pt idx="622">
                <c:v>2.4924200000000001E-2</c:v>
              </c:pt>
              <c:pt idx="623">
                <c:v>2.4964199999999999E-2</c:v>
              </c:pt>
              <c:pt idx="624">
                <c:v>2.5004200000000001E-2</c:v>
              </c:pt>
              <c:pt idx="625">
                <c:v>2.5044299999999999E-2</c:v>
              </c:pt>
              <c:pt idx="626">
                <c:v>2.50843E-2</c:v>
              </c:pt>
              <c:pt idx="627">
                <c:v>2.5124299999999999E-2</c:v>
              </c:pt>
              <c:pt idx="628">
                <c:v>2.5164300000000001E-2</c:v>
              </c:pt>
              <c:pt idx="629">
                <c:v>2.5204299999999999E-2</c:v>
              </c:pt>
              <c:pt idx="630">
                <c:v>2.5244300000000001E-2</c:v>
              </c:pt>
              <c:pt idx="631">
                <c:v>2.5284399999999999E-2</c:v>
              </c:pt>
              <c:pt idx="632">
                <c:v>2.53244E-2</c:v>
              </c:pt>
              <c:pt idx="633">
                <c:v>2.5364399999999999E-2</c:v>
              </c:pt>
              <c:pt idx="634">
                <c:v>2.5404400000000001E-2</c:v>
              </c:pt>
              <c:pt idx="635">
                <c:v>2.5444399999999999E-2</c:v>
              </c:pt>
              <c:pt idx="636">
                <c:v>2.5484400000000001E-2</c:v>
              </c:pt>
              <c:pt idx="637">
                <c:v>2.5524399999999999E-2</c:v>
              </c:pt>
              <c:pt idx="638">
                <c:v>2.55645E-2</c:v>
              </c:pt>
              <c:pt idx="639">
                <c:v>2.5604499999999999E-2</c:v>
              </c:pt>
              <c:pt idx="640">
                <c:v>2.5644500000000001E-2</c:v>
              </c:pt>
              <c:pt idx="641">
                <c:v>2.5684499999999999E-2</c:v>
              </c:pt>
              <c:pt idx="642">
                <c:v>2.5724500000000001E-2</c:v>
              </c:pt>
              <c:pt idx="643">
                <c:v>2.5764499999999999E-2</c:v>
              </c:pt>
              <c:pt idx="644">
                <c:v>2.58046E-2</c:v>
              </c:pt>
              <c:pt idx="645">
                <c:v>2.5844599999999999E-2</c:v>
              </c:pt>
              <c:pt idx="646">
                <c:v>2.5884600000000001E-2</c:v>
              </c:pt>
              <c:pt idx="647">
                <c:v>2.5924599999999999E-2</c:v>
              </c:pt>
              <c:pt idx="648">
                <c:v>2.5964600000000001E-2</c:v>
              </c:pt>
              <c:pt idx="649">
                <c:v>2.6004599999999999E-2</c:v>
              </c:pt>
              <c:pt idx="650">
                <c:v>2.60447E-2</c:v>
              </c:pt>
              <c:pt idx="651">
                <c:v>2.6084699999999999E-2</c:v>
              </c:pt>
              <c:pt idx="652">
                <c:v>2.6124700000000001E-2</c:v>
              </c:pt>
              <c:pt idx="653">
                <c:v>2.6164699999999999E-2</c:v>
              </c:pt>
              <c:pt idx="654">
                <c:v>2.6204700000000001E-2</c:v>
              </c:pt>
              <c:pt idx="655">
                <c:v>2.6244699999999999E-2</c:v>
              </c:pt>
              <c:pt idx="656">
                <c:v>2.6284800000000001E-2</c:v>
              </c:pt>
              <c:pt idx="657">
                <c:v>2.6324799999999999E-2</c:v>
              </c:pt>
              <c:pt idx="658">
                <c:v>2.6364800000000001E-2</c:v>
              </c:pt>
              <c:pt idx="659">
                <c:v>2.6404799999999999E-2</c:v>
              </c:pt>
              <c:pt idx="660">
                <c:v>2.6444800000000001E-2</c:v>
              </c:pt>
              <c:pt idx="661">
                <c:v>2.6484799999999999E-2</c:v>
              </c:pt>
              <c:pt idx="662">
                <c:v>2.6524800000000001E-2</c:v>
              </c:pt>
              <c:pt idx="663">
                <c:v>2.6564899999999999E-2</c:v>
              </c:pt>
              <c:pt idx="664">
                <c:v>2.6604900000000001E-2</c:v>
              </c:pt>
              <c:pt idx="665">
                <c:v>2.6644899999999999E-2</c:v>
              </c:pt>
              <c:pt idx="666">
                <c:v>2.6684900000000001E-2</c:v>
              </c:pt>
              <c:pt idx="667">
                <c:v>2.6724899999999999E-2</c:v>
              </c:pt>
              <c:pt idx="668">
                <c:v>2.6764900000000001E-2</c:v>
              </c:pt>
              <c:pt idx="669">
                <c:v>2.6804999999999999E-2</c:v>
              </c:pt>
              <c:pt idx="670">
                <c:v>2.6845000000000001E-2</c:v>
              </c:pt>
              <c:pt idx="671">
                <c:v>2.6884999999999999E-2</c:v>
              </c:pt>
              <c:pt idx="672">
                <c:v>2.6925000000000001E-2</c:v>
              </c:pt>
              <c:pt idx="673">
                <c:v>2.6964999999999999E-2</c:v>
              </c:pt>
              <c:pt idx="674">
                <c:v>2.7005000000000001E-2</c:v>
              </c:pt>
              <c:pt idx="675">
                <c:v>2.7045E-2</c:v>
              </c:pt>
              <c:pt idx="676">
                <c:v>2.7085000000000001E-2</c:v>
              </c:pt>
              <c:pt idx="677">
                <c:v>2.7125099999999999E-2</c:v>
              </c:pt>
              <c:pt idx="678">
                <c:v>2.7165100000000001E-2</c:v>
              </c:pt>
              <c:pt idx="679">
                <c:v>2.7205099999999999E-2</c:v>
              </c:pt>
              <c:pt idx="680">
                <c:v>2.7245100000000001E-2</c:v>
              </c:pt>
              <c:pt idx="681">
                <c:v>2.72851E-2</c:v>
              </c:pt>
              <c:pt idx="682">
                <c:v>2.7325100000000001E-2</c:v>
              </c:pt>
              <c:pt idx="683">
                <c:v>2.73651E-2</c:v>
              </c:pt>
              <c:pt idx="684">
                <c:v>2.7405100000000002E-2</c:v>
              </c:pt>
              <c:pt idx="685">
                <c:v>2.7445199999999999E-2</c:v>
              </c:pt>
              <c:pt idx="686">
                <c:v>2.7485200000000001E-2</c:v>
              </c:pt>
              <c:pt idx="687">
                <c:v>2.75252E-2</c:v>
              </c:pt>
              <c:pt idx="688">
                <c:v>2.7565200000000002E-2</c:v>
              </c:pt>
              <c:pt idx="689">
                <c:v>2.76052E-2</c:v>
              </c:pt>
              <c:pt idx="690">
                <c:v>2.7645200000000002E-2</c:v>
              </c:pt>
              <c:pt idx="691">
                <c:v>2.76852E-2</c:v>
              </c:pt>
              <c:pt idx="692">
                <c:v>2.7725199999999998E-2</c:v>
              </c:pt>
              <c:pt idx="693">
                <c:v>2.77652E-2</c:v>
              </c:pt>
              <c:pt idx="694">
                <c:v>2.7805300000000002E-2</c:v>
              </c:pt>
              <c:pt idx="695">
                <c:v>2.78453E-2</c:v>
              </c:pt>
              <c:pt idx="696">
                <c:v>2.7885299999999998E-2</c:v>
              </c:pt>
              <c:pt idx="697">
                <c:v>2.79253E-2</c:v>
              </c:pt>
              <c:pt idx="698">
                <c:v>2.7965299999999998E-2</c:v>
              </c:pt>
              <c:pt idx="699">
                <c:v>2.80053E-2</c:v>
              </c:pt>
              <c:pt idx="700">
                <c:v>2.8045299999999999E-2</c:v>
              </c:pt>
              <c:pt idx="701">
                <c:v>2.8085300000000001E-2</c:v>
              </c:pt>
              <c:pt idx="702">
                <c:v>2.8125299999999999E-2</c:v>
              </c:pt>
              <c:pt idx="703">
                <c:v>2.81654E-2</c:v>
              </c:pt>
              <c:pt idx="704">
                <c:v>2.8205399999999999E-2</c:v>
              </c:pt>
              <c:pt idx="705">
                <c:v>2.82454E-2</c:v>
              </c:pt>
              <c:pt idx="706">
                <c:v>2.8285399999999999E-2</c:v>
              </c:pt>
              <c:pt idx="707">
                <c:v>2.8325400000000001E-2</c:v>
              </c:pt>
              <c:pt idx="708">
                <c:v>2.8365399999999999E-2</c:v>
              </c:pt>
              <c:pt idx="709">
                <c:v>2.8405400000000001E-2</c:v>
              </c:pt>
              <c:pt idx="710">
                <c:v>2.8445399999999999E-2</c:v>
              </c:pt>
              <c:pt idx="711">
                <c:v>2.8485400000000001E-2</c:v>
              </c:pt>
              <c:pt idx="712">
                <c:v>2.8525499999999999E-2</c:v>
              </c:pt>
              <c:pt idx="713">
                <c:v>2.8565500000000001E-2</c:v>
              </c:pt>
              <c:pt idx="714">
                <c:v>2.8605499999999999E-2</c:v>
              </c:pt>
              <c:pt idx="715">
                <c:v>2.8645500000000001E-2</c:v>
              </c:pt>
              <c:pt idx="716">
                <c:v>2.8685499999999999E-2</c:v>
              </c:pt>
              <c:pt idx="717">
                <c:v>2.8725500000000001E-2</c:v>
              </c:pt>
              <c:pt idx="718">
                <c:v>2.8765499999999999E-2</c:v>
              </c:pt>
              <c:pt idx="719">
                <c:v>2.8805500000000001E-2</c:v>
              </c:pt>
              <c:pt idx="720">
                <c:v>2.88455E-2</c:v>
              </c:pt>
              <c:pt idx="721">
                <c:v>2.8885600000000001E-2</c:v>
              </c:pt>
              <c:pt idx="722">
                <c:v>2.8925599999999999E-2</c:v>
              </c:pt>
              <c:pt idx="723">
                <c:v>2.8965600000000001E-2</c:v>
              </c:pt>
              <c:pt idx="724">
                <c:v>2.9005599999999999E-2</c:v>
              </c:pt>
              <c:pt idx="725">
                <c:v>2.9045600000000001E-2</c:v>
              </c:pt>
              <c:pt idx="726">
                <c:v>2.90856E-2</c:v>
              </c:pt>
              <c:pt idx="727">
                <c:v>2.9125600000000001E-2</c:v>
              </c:pt>
              <c:pt idx="728">
                <c:v>2.91656E-2</c:v>
              </c:pt>
              <c:pt idx="729">
                <c:v>2.9205600000000002E-2</c:v>
              </c:pt>
              <c:pt idx="730">
                <c:v>2.9245699999999999E-2</c:v>
              </c:pt>
              <c:pt idx="731">
                <c:v>2.9285700000000001E-2</c:v>
              </c:pt>
              <c:pt idx="732">
                <c:v>2.93257E-2</c:v>
              </c:pt>
              <c:pt idx="733">
                <c:v>2.9365700000000002E-2</c:v>
              </c:pt>
              <c:pt idx="734">
                <c:v>2.94057E-2</c:v>
              </c:pt>
              <c:pt idx="735">
                <c:v>2.9445699999999998E-2</c:v>
              </c:pt>
              <c:pt idx="736">
                <c:v>2.94857E-2</c:v>
              </c:pt>
              <c:pt idx="737">
                <c:v>2.9525699999999998E-2</c:v>
              </c:pt>
              <c:pt idx="738">
                <c:v>2.95658E-2</c:v>
              </c:pt>
              <c:pt idx="739">
                <c:v>2.9605800000000002E-2</c:v>
              </c:pt>
              <c:pt idx="740">
                <c:v>2.96458E-2</c:v>
              </c:pt>
              <c:pt idx="741">
                <c:v>2.9685799999999998E-2</c:v>
              </c:pt>
              <c:pt idx="742">
                <c:v>2.97258E-2</c:v>
              </c:pt>
              <c:pt idx="743">
                <c:v>2.9765799999999999E-2</c:v>
              </c:pt>
              <c:pt idx="744">
                <c:v>2.98058E-2</c:v>
              </c:pt>
              <c:pt idx="745">
                <c:v>2.9845799999999999E-2</c:v>
              </c:pt>
              <c:pt idx="746">
                <c:v>2.9885800000000001E-2</c:v>
              </c:pt>
              <c:pt idx="747">
                <c:v>2.9925799999999999E-2</c:v>
              </c:pt>
              <c:pt idx="748">
                <c:v>2.99659E-2</c:v>
              </c:pt>
              <c:pt idx="749">
                <c:v>3.0005899999999999E-2</c:v>
              </c:pt>
              <c:pt idx="750">
                <c:v>3.00459E-2</c:v>
              </c:pt>
              <c:pt idx="751">
                <c:v>3.0085899999999999E-2</c:v>
              </c:pt>
              <c:pt idx="752">
                <c:v>3.0125900000000001E-2</c:v>
              </c:pt>
              <c:pt idx="753">
                <c:v>3.0165899999999999E-2</c:v>
              </c:pt>
              <c:pt idx="754">
                <c:v>3.0205900000000001E-2</c:v>
              </c:pt>
              <c:pt idx="755">
                <c:v>3.0245899999999999E-2</c:v>
              </c:pt>
              <c:pt idx="756">
                <c:v>3.0285900000000001E-2</c:v>
              </c:pt>
              <c:pt idx="757">
                <c:v>3.0325999999999999E-2</c:v>
              </c:pt>
              <c:pt idx="758">
                <c:v>3.0366000000000001E-2</c:v>
              </c:pt>
              <c:pt idx="759">
                <c:v>3.0405999999999999E-2</c:v>
              </c:pt>
              <c:pt idx="760">
                <c:v>3.0446000000000001E-2</c:v>
              </c:pt>
              <c:pt idx="761">
                <c:v>3.0485999999999999E-2</c:v>
              </c:pt>
              <c:pt idx="762">
                <c:v>3.0526000000000001E-2</c:v>
              </c:pt>
              <c:pt idx="763">
                <c:v>3.0565999999999999E-2</c:v>
              </c:pt>
              <c:pt idx="764">
                <c:v>3.0606000000000001E-2</c:v>
              </c:pt>
              <c:pt idx="765">
                <c:v>3.0646099999999999E-2</c:v>
              </c:pt>
              <c:pt idx="766">
                <c:v>3.0686100000000001E-2</c:v>
              </c:pt>
              <c:pt idx="767">
                <c:v>3.0726099999999999E-2</c:v>
              </c:pt>
              <c:pt idx="768">
                <c:v>3.0766100000000001E-2</c:v>
              </c:pt>
              <c:pt idx="769">
                <c:v>3.0806099999999999E-2</c:v>
              </c:pt>
              <c:pt idx="770">
                <c:v>3.0846100000000001E-2</c:v>
              </c:pt>
              <c:pt idx="771">
                <c:v>3.08861E-2</c:v>
              </c:pt>
              <c:pt idx="772">
                <c:v>3.0926100000000002E-2</c:v>
              </c:pt>
              <c:pt idx="773">
                <c:v>3.09661E-2</c:v>
              </c:pt>
              <c:pt idx="774">
                <c:v>3.1006100000000002E-2</c:v>
              </c:pt>
              <c:pt idx="775">
                <c:v>3.1046199999999999E-2</c:v>
              </c:pt>
              <c:pt idx="776">
                <c:v>3.1086200000000001E-2</c:v>
              </c:pt>
              <c:pt idx="777">
                <c:v>3.11262E-2</c:v>
              </c:pt>
              <c:pt idx="778">
                <c:v>3.1166200000000002E-2</c:v>
              </c:pt>
              <c:pt idx="779">
                <c:v>3.12062E-2</c:v>
              </c:pt>
              <c:pt idx="780">
                <c:v>3.1246199999999998E-2</c:v>
              </c:pt>
              <c:pt idx="781">
                <c:v>3.12862E-2</c:v>
              </c:pt>
              <c:pt idx="782">
                <c:v>3.1326199999999998E-2</c:v>
              </c:pt>
              <c:pt idx="783">
                <c:v>3.1366199999999997E-2</c:v>
              </c:pt>
              <c:pt idx="784">
                <c:v>3.1406299999999998E-2</c:v>
              </c:pt>
              <c:pt idx="785">
                <c:v>3.1446300000000003E-2</c:v>
              </c:pt>
              <c:pt idx="786">
                <c:v>3.1486300000000002E-2</c:v>
              </c:pt>
              <c:pt idx="787">
                <c:v>3.15263E-2</c:v>
              </c:pt>
              <c:pt idx="788">
                <c:v>3.1566299999999999E-2</c:v>
              </c:pt>
              <c:pt idx="789">
                <c:v>3.1606299999999997E-2</c:v>
              </c:pt>
              <c:pt idx="790">
                <c:v>3.1646300000000002E-2</c:v>
              </c:pt>
              <c:pt idx="791">
                <c:v>3.1686300000000001E-2</c:v>
              </c:pt>
              <c:pt idx="792">
                <c:v>3.1726299999999999E-2</c:v>
              </c:pt>
              <c:pt idx="793">
                <c:v>3.1766299999999997E-2</c:v>
              </c:pt>
              <c:pt idx="794">
                <c:v>3.1806399999999999E-2</c:v>
              </c:pt>
              <c:pt idx="795">
                <c:v>3.1846399999999997E-2</c:v>
              </c:pt>
              <c:pt idx="796">
                <c:v>3.1886400000000002E-2</c:v>
              </c:pt>
              <c:pt idx="797">
                <c:v>3.1926400000000001E-2</c:v>
              </c:pt>
              <c:pt idx="798">
                <c:v>3.1966399999999999E-2</c:v>
              </c:pt>
              <c:pt idx="799">
                <c:v>3.2006399999999997E-2</c:v>
              </c:pt>
              <c:pt idx="800">
                <c:v>3.2046400000000003E-2</c:v>
              </c:pt>
              <c:pt idx="801">
                <c:v>3.2086400000000001E-2</c:v>
              </c:pt>
              <c:pt idx="802">
                <c:v>3.2126399999999999E-2</c:v>
              </c:pt>
              <c:pt idx="803">
                <c:v>3.2166399999999998E-2</c:v>
              </c:pt>
              <c:pt idx="804">
                <c:v>3.2206400000000003E-2</c:v>
              </c:pt>
              <c:pt idx="805">
                <c:v>3.2246400000000001E-2</c:v>
              </c:pt>
              <c:pt idx="806">
                <c:v>3.22864E-2</c:v>
              </c:pt>
              <c:pt idx="807">
                <c:v>3.2326500000000001E-2</c:v>
              </c:pt>
              <c:pt idx="808">
                <c:v>3.2366499999999999E-2</c:v>
              </c:pt>
              <c:pt idx="809">
                <c:v>3.2406499999999998E-2</c:v>
              </c:pt>
              <c:pt idx="810">
                <c:v>3.2446500000000003E-2</c:v>
              </c:pt>
              <c:pt idx="811">
                <c:v>3.2486500000000001E-2</c:v>
              </c:pt>
              <c:pt idx="812">
                <c:v>3.25265E-2</c:v>
              </c:pt>
              <c:pt idx="813">
                <c:v>3.2566499999999998E-2</c:v>
              </c:pt>
              <c:pt idx="814">
                <c:v>3.2606499999999997E-2</c:v>
              </c:pt>
              <c:pt idx="815">
                <c:v>3.2646500000000002E-2</c:v>
              </c:pt>
              <c:pt idx="816">
                <c:v>3.26865E-2</c:v>
              </c:pt>
              <c:pt idx="817">
                <c:v>3.2726499999999999E-2</c:v>
              </c:pt>
              <c:pt idx="818">
                <c:v>3.2766499999999997E-2</c:v>
              </c:pt>
              <c:pt idx="819">
                <c:v>3.2806500000000002E-2</c:v>
              </c:pt>
              <c:pt idx="820">
                <c:v>3.2846500000000001E-2</c:v>
              </c:pt>
              <c:pt idx="821">
                <c:v>3.2886600000000002E-2</c:v>
              </c:pt>
              <c:pt idx="822">
                <c:v>3.29266E-2</c:v>
              </c:pt>
              <c:pt idx="823">
                <c:v>3.2966599999999999E-2</c:v>
              </c:pt>
              <c:pt idx="824">
                <c:v>3.3006599999999997E-2</c:v>
              </c:pt>
              <c:pt idx="825">
                <c:v>3.3046600000000002E-2</c:v>
              </c:pt>
              <c:pt idx="826">
                <c:v>3.3086600000000001E-2</c:v>
              </c:pt>
              <c:pt idx="827">
                <c:v>3.3126599999999999E-2</c:v>
              </c:pt>
              <c:pt idx="828">
                <c:v>3.3166599999999997E-2</c:v>
              </c:pt>
              <c:pt idx="829">
                <c:v>3.3206600000000003E-2</c:v>
              </c:pt>
              <c:pt idx="830">
                <c:v>3.3246600000000001E-2</c:v>
              </c:pt>
              <c:pt idx="831">
                <c:v>3.32866E-2</c:v>
              </c:pt>
              <c:pt idx="832">
                <c:v>3.3326599999999998E-2</c:v>
              </c:pt>
              <c:pt idx="833">
                <c:v>3.3366600000000003E-2</c:v>
              </c:pt>
              <c:pt idx="834">
                <c:v>3.3406600000000002E-2</c:v>
              </c:pt>
              <c:pt idx="835">
                <c:v>3.3446700000000003E-2</c:v>
              </c:pt>
              <c:pt idx="836">
                <c:v>3.3486700000000001E-2</c:v>
              </c:pt>
              <c:pt idx="837">
                <c:v>3.35267E-2</c:v>
              </c:pt>
              <c:pt idx="838">
                <c:v>3.3566699999999998E-2</c:v>
              </c:pt>
              <c:pt idx="839">
                <c:v>3.3606700000000003E-2</c:v>
              </c:pt>
              <c:pt idx="840">
                <c:v>3.3646700000000002E-2</c:v>
              </c:pt>
              <c:pt idx="841">
                <c:v>3.36867E-2</c:v>
              </c:pt>
              <c:pt idx="842">
                <c:v>3.3726699999999998E-2</c:v>
              </c:pt>
              <c:pt idx="843">
                <c:v>3.3766699999999997E-2</c:v>
              </c:pt>
              <c:pt idx="844">
                <c:v>3.3806700000000002E-2</c:v>
              </c:pt>
              <c:pt idx="845">
                <c:v>3.38467E-2</c:v>
              </c:pt>
              <c:pt idx="846">
                <c:v>3.3886699999999999E-2</c:v>
              </c:pt>
              <c:pt idx="847">
                <c:v>3.3926699999999997E-2</c:v>
              </c:pt>
              <c:pt idx="848">
                <c:v>3.3966799999999998E-2</c:v>
              </c:pt>
              <c:pt idx="849">
                <c:v>3.4006799999999997E-2</c:v>
              </c:pt>
              <c:pt idx="850">
                <c:v>3.4046800000000002E-2</c:v>
              </c:pt>
              <c:pt idx="851">
                <c:v>3.40868E-2</c:v>
              </c:pt>
              <c:pt idx="852">
                <c:v>3.4126799999999999E-2</c:v>
              </c:pt>
              <c:pt idx="853">
                <c:v>3.4166799999999997E-2</c:v>
              </c:pt>
              <c:pt idx="854">
                <c:v>3.4206800000000002E-2</c:v>
              </c:pt>
              <c:pt idx="855">
                <c:v>3.4246800000000001E-2</c:v>
              </c:pt>
              <c:pt idx="856">
                <c:v>3.4286799999999999E-2</c:v>
              </c:pt>
              <c:pt idx="857">
                <c:v>3.4326799999999998E-2</c:v>
              </c:pt>
              <c:pt idx="858">
                <c:v>3.4366800000000003E-2</c:v>
              </c:pt>
              <c:pt idx="859">
                <c:v>3.4406800000000001E-2</c:v>
              </c:pt>
              <c:pt idx="860">
                <c:v>3.44468E-2</c:v>
              </c:pt>
              <c:pt idx="861">
                <c:v>3.4486799999999998E-2</c:v>
              </c:pt>
              <c:pt idx="862">
                <c:v>3.4526899999999999E-2</c:v>
              </c:pt>
              <c:pt idx="863">
                <c:v>3.4566899999999998E-2</c:v>
              </c:pt>
              <c:pt idx="864">
                <c:v>3.4606900000000003E-2</c:v>
              </c:pt>
              <c:pt idx="865">
                <c:v>3.4646900000000001E-2</c:v>
              </c:pt>
              <c:pt idx="866">
                <c:v>3.46869E-2</c:v>
              </c:pt>
              <c:pt idx="867">
                <c:v>3.4726899999999998E-2</c:v>
              </c:pt>
              <c:pt idx="868">
                <c:v>3.4766900000000003E-2</c:v>
              </c:pt>
              <c:pt idx="869">
                <c:v>3.4806900000000002E-2</c:v>
              </c:pt>
              <c:pt idx="870">
                <c:v>3.48469E-2</c:v>
              </c:pt>
              <c:pt idx="871">
                <c:v>3.4886899999999998E-2</c:v>
              </c:pt>
              <c:pt idx="872">
                <c:v>3.4926899999999997E-2</c:v>
              </c:pt>
              <c:pt idx="873">
                <c:v>3.4966900000000002E-2</c:v>
              </c:pt>
              <c:pt idx="874">
                <c:v>3.5006900000000001E-2</c:v>
              </c:pt>
              <c:pt idx="875">
                <c:v>3.5046899999999999E-2</c:v>
              </c:pt>
              <c:pt idx="876">
                <c:v>3.5087E-2</c:v>
              </c:pt>
              <c:pt idx="877">
                <c:v>3.5126999999999999E-2</c:v>
              </c:pt>
              <c:pt idx="878">
                <c:v>3.5166999999999997E-2</c:v>
              </c:pt>
              <c:pt idx="879">
                <c:v>3.5207000000000002E-2</c:v>
              </c:pt>
              <c:pt idx="880">
                <c:v>3.5247000000000001E-2</c:v>
              </c:pt>
              <c:pt idx="881">
                <c:v>3.5286999999999999E-2</c:v>
              </c:pt>
              <c:pt idx="882">
                <c:v>3.5326999999999997E-2</c:v>
              </c:pt>
              <c:pt idx="883">
                <c:v>3.5367000000000003E-2</c:v>
              </c:pt>
              <c:pt idx="884">
                <c:v>3.5407000000000001E-2</c:v>
              </c:pt>
              <c:pt idx="885">
                <c:v>3.5446999999999999E-2</c:v>
              </c:pt>
              <c:pt idx="886">
                <c:v>3.5486999999999998E-2</c:v>
              </c:pt>
              <c:pt idx="887">
                <c:v>3.5527000000000003E-2</c:v>
              </c:pt>
              <c:pt idx="888">
                <c:v>3.5567000000000001E-2</c:v>
              </c:pt>
              <c:pt idx="889">
                <c:v>3.5607100000000003E-2</c:v>
              </c:pt>
              <c:pt idx="890">
                <c:v>3.5647100000000001E-2</c:v>
              </c:pt>
              <c:pt idx="891">
                <c:v>3.5687099999999999E-2</c:v>
              </c:pt>
              <c:pt idx="892">
                <c:v>3.5727099999999998E-2</c:v>
              </c:pt>
              <c:pt idx="893">
                <c:v>3.5767100000000003E-2</c:v>
              </c:pt>
              <c:pt idx="894">
                <c:v>3.5807100000000001E-2</c:v>
              </c:pt>
              <c:pt idx="895">
                <c:v>3.58471E-2</c:v>
              </c:pt>
              <c:pt idx="896">
                <c:v>3.5887099999999998E-2</c:v>
              </c:pt>
              <c:pt idx="897">
                <c:v>3.5927099999999997E-2</c:v>
              </c:pt>
              <c:pt idx="898">
                <c:v>3.5967100000000002E-2</c:v>
              </c:pt>
              <c:pt idx="899">
                <c:v>3.60071E-2</c:v>
              </c:pt>
              <c:pt idx="900">
                <c:v>3.6047099999999999E-2</c:v>
              </c:pt>
              <c:pt idx="901">
                <c:v>3.6087099999999997E-2</c:v>
              </c:pt>
              <c:pt idx="902">
                <c:v>3.6127100000000002E-2</c:v>
              </c:pt>
              <c:pt idx="903">
                <c:v>3.6167199999999997E-2</c:v>
              </c:pt>
              <c:pt idx="904">
                <c:v>3.6207200000000002E-2</c:v>
              </c:pt>
              <c:pt idx="905">
                <c:v>3.62472E-2</c:v>
              </c:pt>
              <c:pt idx="906">
                <c:v>3.6287199999999999E-2</c:v>
              </c:pt>
              <c:pt idx="907">
                <c:v>3.6327199999999997E-2</c:v>
              </c:pt>
              <c:pt idx="908">
                <c:v>3.6367200000000002E-2</c:v>
              </c:pt>
              <c:pt idx="909">
                <c:v>3.6407200000000001E-2</c:v>
              </c:pt>
              <c:pt idx="910">
                <c:v>3.6447199999999999E-2</c:v>
              </c:pt>
              <c:pt idx="911">
                <c:v>3.6487199999999997E-2</c:v>
              </c:pt>
              <c:pt idx="912">
                <c:v>3.6527200000000003E-2</c:v>
              </c:pt>
              <c:pt idx="913">
                <c:v>3.6567200000000001E-2</c:v>
              </c:pt>
              <c:pt idx="914">
                <c:v>3.6607199999999999E-2</c:v>
              </c:pt>
              <c:pt idx="915">
                <c:v>3.6647199999999998E-2</c:v>
              </c:pt>
              <c:pt idx="916">
                <c:v>3.6687200000000003E-2</c:v>
              </c:pt>
              <c:pt idx="917">
                <c:v>3.6727299999999997E-2</c:v>
              </c:pt>
              <c:pt idx="918">
                <c:v>3.6767300000000003E-2</c:v>
              </c:pt>
              <c:pt idx="919">
                <c:v>3.6807300000000001E-2</c:v>
              </c:pt>
              <c:pt idx="920">
                <c:v>3.6847299999999999E-2</c:v>
              </c:pt>
              <c:pt idx="921">
                <c:v>3.6887299999999998E-2</c:v>
              </c:pt>
              <c:pt idx="922">
                <c:v>3.6927300000000003E-2</c:v>
              </c:pt>
              <c:pt idx="923">
                <c:v>3.6967300000000002E-2</c:v>
              </c:pt>
              <c:pt idx="924">
                <c:v>3.70073E-2</c:v>
              </c:pt>
              <c:pt idx="925">
                <c:v>3.7047299999999998E-2</c:v>
              </c:pt>
              <c:pt idx="926">
                <c:v>3.7087299999999997E-2</c:v>
              </c:pt>
              <c:pt idx="927">
                <c:v>3.7127300000000002E-2</c:v>
              </c:pt>
              <c:pt idx="928">
                <c:v>3.71673E-2</c:v>
              </c:pt>
              <c:pt idx="929">
                <c:v>3.7207299999999999E-2</c:v>
              </c:pt>
              <c:pt idx="930">
                <c:v>3.7247299999999997E-2</c:v>
              </c:pt>
              <c:pt idx="931">
                <c:v>3.7287399999999998E-2</c:v>
              </c:pt>
              <c:pt idx="932">
                <c:v>3.7327399999999997E-2</c:v>
              </c:pt>
              <c:pt idx="933">
                <c:v>3.7367400000000002E-2</c:v>
              </c:pt>
              <c:pt idx="934">
                <c:v>3.74074E-2</c:v>
              </c:pt>
              <c:pt idx="935">
                <c:v>3.7447399999999999E-2</c:v>
              </c:pt>
              <c:pt idx="936">
                <c:v>3.7487399999999997E-2</c:v>
              </c:pt>
              <c:pt idx="937">
                <c:v>3.7527400000000002E-2</c:v>
              </c:pt>
              <c:pt idx="938">
                <c:v>3.7567400000000001E-2</c:v>
              </c:pt>
              <c:pt idx="939">
                <c:v>3.7607399999999999E-2</c:v>
              </c:pt>
              <c:pt idx="940">
                <c:v>3.7647399999999998E-2</c:v>
              </c:pt>
              <c:pt idx="941">
                <c:v>3.7687400000000003E-2</c:v>
              </c:pt>
              <c:pt idx="942">
                <c:v>3.7727400000000001E-2</c:v>
              </c:pt>
              <c:pt idx="943">
                <c:v>3.77674E-2</c:v>
              </c:pt>
              <c:pt idx="944">
                <c:v>3.7807500000000001E-2</c:v>
              </c:pt>
              <c:pt idx="945">
                <c:v>3.7847499999999999E-2</c:v>
              </c:pt>
              <c:pt idx="946">
                <c:v>3.7887499999999998E-2</c:v>
              </c:pt>
              <c:pt idx="947">
                <c:v>3.7927500000000003E-2</c:v>
              </c:pt>
              <c:pt idx="948">
                <c:v>3.7967500000000001E-2</c:v>
              </c:pt>
              <c:pt idx="949">
                <c:v>3.80075E-2</c:v>
              </c:pt>
              <c:pt idx="950">
                <c:v>3.8047499999999998E-2</c:v>
              </c:pt>
              <c:pt idx="951">
                <c:v>3.8087500000000003E-2</c:v>
              </c:pt>
              <c:pt idx="952">
                <c:v>3.8127500000000002E-2</c:v>
              </c:pt>
              <c:pt idx="953">
                <c:v>3.81675E-2</c:v>
              </c:pt>
              <c:pt idx="954">
                <c:v>3.8207499999999998E-2</c:v>
              </c:pt>
              <c:pt idx="955">
                <c:v>3.82476E-2</c:v>
              </c:pt>
              <c:pt idx="956">
                <c:v>3.8287599999999998E-2</c:v>
              </c:pt>
              <c:pt idx="957">
                <c:v>3.8327600000000003E-2</c:v>
              </c:pt>
              <c:pt idx="958">
                <c:v>3.8367600000000002E-2</c:v>
              </c:pt>
              <c:pt idx="959">
                <c:v>3.84076E-2</c:v>
              </c:pt>
              <c:pt idx="960">
                <c:v>3.8447599999999998E-2</c:v>
              </c:pt>
              <c:pt idx="961">
                <c:v>3.8487599999999997E-2</c:v>
              </c:pt>
              <c:pt idx="962">
                <c:v>3.8527600000000002E-2</c:v>
              </c:pt>
              <c:pt idx="963">
                <c:v>3.85676E-2</c:v>
              </c:pt>
              <c:pt idx="964">
                <c:v>3.8607599999999999E-2</c:v>
              </c:pt>
              <c:pt idx="965">
                <c:v>3.8647599999999997E-2</c:v>
              </c:pt>
              <c:pt idx="966">
                <c:v>3.8687699999999998E-2</c:v>
              </c:pt>
              <c:pt idx="967">
                <c:v>3.8727699999999997E-2</c:v>
              </c:pt>
              <c:pt idx="968">
                <c:v>3.8767700000000002E-2</c:v>
              </c:pt>
              <c:pt idx="969">
                <c:v>3.8807700000000001E-2</c:v>
              </c:pt>
              <c:pt idx="970">
                <c:v>3.8847699999999999E-2</c:v>
              </c:pt>
              <c:pt idx="971">
                <c:v>3.8887699999999997E-2</c:v>
              </c:pt>
              <c:pt idx="972">
                <c:v>3.8927700000000003E-2</c:v>
              </c:pt>
              <c:pt idx="973">
                <c:v>3.8967700000000001E-2</c:v>
              </c:pt>
              <c:pt idx="974">
                <c:v>3.9007699999999999E-2</c:v>
              </c:pt>
              <c:pt idx="975">
                <c:v>3.9047699999999998E-2</c:v>
              </c:pt>
              <c:pt idx="976">
                <c:v>3.9087700000000003E-2</c:v>
              </c:pt>
              <c:pt idx="977">
                <c:v>3.9127799999999997E-2</c:v>
              </c:pt>
              <c:pt idx="978">
                <c:v>3.9167800000000003E-2</c:v>
              </c:pt>
              <c:pt idx="979">
                <c:v>3.9207800000000001E-2</c:v>
              </c:pt>
              <c:pt idx="980">
                <c:v>3.9247799999999999E-2</c:v>
              </c:pt>
              <c:pt idx="981">
                <c:v>3.9287799999999998E-2</c:v>
              </c:pt>
              <c:pt idx="982">
                <c:v>3.9327800000000003E-2</c:v>
              </c:pt>
              <c:pt idx="983">
                <c:v>3.9367800000000001E-2</c:v>
              </c:pt>
              <c:pt idx="984">
                <c:v>3.94078E-2</c:v>
              </c:pt>
              <c:pt idx="985">
                <c:v>3.9447799999999998E-2</c:v>
              </c:pt>
              <c:pt idx="986">
                <c:v>3.9487800000000003E-2</c:v>
              </c:pt>
              <c:pt idx="987">
                <c:v>3.9527800000000002E-2</c:v>
              </c:pt>
              <c:pt idx="988">
                <c:v>3.9567900000000003E-2</c:v>
              </c:pt>
              <c:pt idx="989">
                <c:v>3.9607900000000001E-2</c:v>
              </c:pt>
              <c:pt idx="990">
                <c:v>3.96479E-2</c:v>
              </c:pt>
              <c:pt idx="991">
                <c:v>3.9687899999999998E-2</c:v>
              </c:pt>
              <c:pt idx="992">
                <c:v>3.9727899999999997E-2</c:v>
              </c:pt>
              <c:pt idx="993">
                <c:v>3.9767900000000002E-2</c:v>
              </c:pt>
              <c:pt idx="994">
                <c:v>3.98079E-2</c:v>
              </c:pt>
              <c:pt idx="995">
                <c:v>3.9847899999999999E-2</c:v>
              </c:pt>
              <c:pt idx="996">
                <c:v>3.9887899999999997E-2</c:v>
              </c:pt>
              <c:pt idx="997">
                <c:v>3.9927900000000002E-2</c:v>
              </c:pt>
              <c:pt idx="998">
                <c:v>3.9967900000000001E-2</c:v>
              </c:pt>
              <c:pt idx="999">
                <c:v>4.0008000000000002E-2</c:v>
              </c:pt>
              <c:pt idx="1000">
                <c:v>4.0048E-2</c:v>
              </c:pt>
              <c:pt idx="1001">
                <c:v>4.0087999999999999E-2</c:v>
              </c:pt>
              <c:pt idx="1002">
                <c:v>4.0127999999999997E-2</c:v>
              </c:pt>
              <c:pt idx="1003">
                <c:v>4.0168000000000002E-2</c:v>
              </c:pt>
              <c:pt idx="1004">
                <c:v>4.0208000000000001E-2</c:v>
              </c:pt>
              <c:pt idx="1005">
                <c:v>4.0247999999999999E-2</c:v>
              </c:pt>
              <c:pt idx="1006">
                <c:v>4.0287999999999997E-2</c:v>
              </c:pt>
              <c:pt idx="1007">
                <c:v>4.0328000000000003E-2</c:v>
              </c:pt>
              <c:pt idx="1008">
                <c:v>4.0368000000000001E-2</c:v>
              </c:pt>
              <c:pt idx="1009">
                <c:v>4.0407999999999999E-2</c:v>
              </c:pt>
              <c:pt idx="1010">
                <c:v>4.0448100000000001E-2</c:v>
              </c:pt>
              <c:pt idx="1011">
                <c:v>4.0488099999999999E-2</c:v>
              </c:pt>
              <c:pt idx="1012">
                <c:v>4.0528099999999997E-2</c:v>
              </c:pt>
              <c:pt idx="1013">
                <c:v>4.0568100000000003E-2</c:v>
              </c:pt>
              <c:pt idx="1014">
                <c:v>4.0608100000000001E-2</c:v>
              </c:pt>
              <c:pt idx="1015">
                <c:v>4.06481E-2</c:v>
              </c:pt>
              <c:pt idx="1016">
                <c:v>4.0688099999999998E-2</c:v>
              </c:pt>
              <c:pt idx="1017">
                <c:v>4.0728100000000003E-2</c:v>
              </c:pt>
              <c:pt idx="1018">
                <c:v>4.0768100000000002E-2</c:v>
              </c:pt>
              <c:pt idx="1019">
                <c:v>4.08081E-2</c:v>
              </c:pt>
              <c:pt idx="1020">
                <c:v>4.0848099999999998E-2</c:v>
              </c:pt>
              <c:pt idx="1021">
                <c:v>4.08882E-2</c:v>
              </c:pt>
              <c:pt idx="1022">
                <c:v>4.0928199999999998E-2</c:v>
              </c:pt>
              <c:pt idx="1023">
                <c:v>4.0968200000000003E-2</c:v>
              </c:pt>
              <c:pt idx="1024">
                <c:v>4.1008200000000002E-2</c:v>
              </c:pt>
              <c:pt idx="1025">
                <c:v>4.10482E-2</c:v>
              </c:pt>
              <c:pt idx="1026">
                <c:v>4.1088199999999998E-2</c:v>
              </c:pt>
              <c:pt idx="1027">
                <c:v>4.1128199999999997E-2</c:v>
              </c:pt>
              <c:pt idx="1028">
                <c:v>4.1168200000000002E-2</c:v>
              </c:pt>
              <c:pt idx="1029">
                <c:v>4.12082E-2</c:v>
              </c:pt>
              <c:pt idx="1030">
                <c:v>4.1248199999999999E-2</c:v>
              </c:pt>
              <c:pt idx="1031">
                <c:v>4.1288199999999997E-2</c:v>
              </c:pt>
              <c:pt idx="1032">
                <c:v>4.1328299999999998E-2</c:v>
              </c:pt>
              <c:pt idx="1033">
                <c:v>4.1368299999999997E-2</c:v>
              </c:pt>
              <c:pt idx="1034">
                <c:v>4.1408300000000002E-2</c:v>
              </c:pt>
              <c:pt idx="1035">
                <c:v>4.14483E-2</c:v>
              </c:pt>
              <c:pt idx="1036">
                <c:v>4.1488299999999999E-2</c:v>
              </c:pt>
              <c:pt idx="1037">
                <c:v>4.1528299999999997E-2</c:v>
              </c:pt>
              <c:pt idx="1038">
                <c:v>4.1568300000000002E-2</c:v>
              </c:pt>
              <c:pt idx="1039">
                <c:v>4.1608300000000001E-2</c:v>
              </c:pt>
              <c:pt idx="1040">
                <c:v>4.1648299999999999E-2</c:v>
              </c:pt>
              <c:pt idx="1041">
                <c:v>4.1688299999999998E-2</c:v>
              </c:pt>
              <c:pt idx="1042">
                <c:v>4.1728300000000003E-2</c:v>
              </c:pt>
              <c:pt idx="1043">
                <c:v>4.1768300000000001E-2</c:v>
              </c:pt>
              <c:pt idx="1044">
                <c:v>4.1808400000000003E-2</c:v>
              </c:pt>
              <c:pt idx="1045">
                <c:v>4.1848400000000001E-2</c:v>
              </c:pt>
              <c:pt idx="1046">
                <c:v>4.1888399999999999E-2</c:v>
              </c:pt>
              <c:pt idx="1047">
                <c:v>4.1928399999999998E-2</c:v>
              </c:pt>
              <c:pt idx="1048">
                <c:v>4.1968400000000003E-2</c:v>
              </c:pt>
              <c:pt idx="1049">
                <c:v>4.2008400000000001E-2</c:v>
              </c:pt>
              <c:pt idx="1050">
                <c:v>4.20484E-2</c:v>
              </c:pt>
              <c:pt idx="1051">
                <c:v>4.2088399999999998E-2</c:v>
              </c:pt>
              <c:pt idx="1052">
                <c:v>4.2128400000000003E-2</c:v>
              </c:pt>
              <c:pt idx="1053">
                <c:v>4.2168400000000002E-2</c:v>
              </c:pt>
              <c:pt idx="1054">
                <c:v>4.22084E-2</c:v>
              </c:pt>
              <c:pt idx="1055">
                <c:v>4.2248500000000001E-2</c:v>
              </c:pt>
              <c:pt idx="1056">
                <c:v>4.22885E-2</c:v>
              </c:pt>
              <c:pt idx="1057">
                <c:v>4.2328499999999998E-2</c:v>
              </c:pt>
              <c:pt idx="1058">
                <c:v>4.2368500000000003E-2</c:v>
              </c:pt>
              <c:pt idx="1059">
                <c:v>4.2408500000000002E-2</c:v>
              </c:pt>
              <c:pt idx="1060">
                <c:v>4.24485E-2</c:v>
              </c:pt>
              <c:pt idx="1061">
                <c:v>4.2488499999999998E-2</c:v>
              </c:pt>
              <c:pt idx="1062">
                <c:v>4.2528499999999997E-2</c:v>
              </c:pt>
              <c:pt idx="1063">
                <c:v>4.2568500000000002E-2</c:v>
              </c:pt>
              <c:pt idx="1064">
                <c:v>4.2608500000000001E-2</c:v>
              </c:pt>
              <c:pt idx="1065">
                <c:v>4.2648499999999999E-2</c:v>
              </c:pt>
              <c:pt idx="1066">
                <c:v>4.26886E-2</c:v>
              </c:pt>
              <c:pt idx="1067">
                <c:v>4.2728599999999999E-2</c:v>
              </c:pt>
              <c:pt idx="1068">
                <c:v>4.2768599999999997E-2</c:v>
              </c:pt>
              <c:pt idx="1069">
                <c:v>4.2808600000000002E-2</c:v>
              </c:pt>
              <c:pt idx="1070">
                <c:v>4.2848600000000001E-2</c:v>
              </c:pt>
              <c:pt idx="1071">
                <c:v>4.2888599999999999E-2</c:v>
              </c:pt>
              <c:pt idx="1072">
                <c:v>4.2928599999999997E-2</c:v>
              </c:pt>
              <c:pt idx="1073">
                <c:v>4.2968600000000003E-2</c:v>
              </c:pt>
              <c:pt idx="1074">
                <c:v>4.3008600000000001E-2</c:v>
              </c:pt>
              <c:pt idx="1075">
                <c:v>4.3048599999999999E-2</c:v>
              </c:pt>
              <c:pt idx="1076">
                <c:v>4.3088599999999998E-2</c:v>
              </c:pt>
              <c:pt idx="1077">
                <c:v>4.3128699999999999E-2</c:v>
              </c:pt>
              <c:pt idx="1078">
                <c:v>4.3168699999999997E-2</c:v>
              </c:pt>
              <c:pt idx="1079">
                <c:v>4.3208700000000003E-2</c:v>
              </c:pt>
              <c:pt idx="1080">
                <c:v>4.3248700000000001E-2</c:v>
              </c:pt>
              <c:pt idx="1081">
                <c:v>4.3288699999999999E-2</c:v>
              </c:pt>
              <c:pt idx="1082">
                <c:v>4.3328699999999998E-2</c:v>
              </c:pt>
              <c:pt idx="1083">
                <c:v>4.3368700000000003E-2</c:v>
              </c:pt>
              <c:pt idx="1084">
                <c:v>4.3408700000000001E-2</c:v>
              </c:pt>
              <c:pt idx="1085">
                <c:v>4.34487E-2</c:v>
              </c:pt>
              <c:pt idx="1086">
                <c:v>4.3488699999999998E-2</c:v>
              </c:pt>
              <c:pt idx="1087">
                <c:v>4.3528699999999997E-2</c:v>
              </c:pt>
              <c:pt idx="1088">
                <c:v>4.3568799999999998E-2</c:v>
              </c:pt>
              <c:pt idx="1089">
                <c:v>4.3608800000000003E-2</c:v>
              </c:pt>
              <c:pt idx="1090">
                <c:v>4.3648800000000001E-2</c:v>
              </c:pt>
              <c:pt idx="1091">
                <c:v>4.36888E-2</c:v>
              </c:pt>
              <c:pt idx="1092">
                <c:v>4.3728799999999998E-2</c:v>
              </c:pt>
              <c:pt idx="1093">
                <c:v>4.3768799999999997E-2</c:v>
              </c:pt>
              <c:pt idx="1094">
                <c:v>4.3808800000000002E-2</c:v>
              </c:pt>
              <c:pt idx="1095">
                <c:v>4.38488E-2</c:v>
              </c:pt>
              <c:pt idx="1096">
                <c:v>4.3888799999999999E-2</c:v>
              </c:pt>
              <c:pt idx="1097">
                <c:v>4.3928799999999997E-2</c:v>
              </c:pt>
              <c:pt idx="1098">
                <c:v>4.3968800000000002E-2</c:v>
              </c:pt>
              <c:pt idx="1099">
                <c:v>4.4008899999999997E-2</c:v>
              </c:pt>
              <c:pt idx="1100">
                <c:v>4.4048900000000002E-2</c:v>
              </c:pt>
              <c:pt idx="1101">
                <c:v>4.40889E-2</c:v>
              </c:pt>
              <c:pt idx="1102">
                <c:v>4.4128899999999999E-2</c:v>
              </c:pt>
              <c:pt idx="1103">
                <c:v>4.4168899999999997E-2</c:v>
              </c:pt>
              <c:pt idx="1104">
                <c:v>4.4208900000000002E-2</c:v>
              </c:pt>
              <c:pt idx="1105">
                <c:v>4.4248900000000001E-2</c:v>
              </c:pt>
              <c:pt idx="1106">
                <c:v>4.4288899999999999E-2</c:v>
              </c:pt>
              <c:pt idx="1107">
                <c:v>4.4328899999999997E-2</c:v>
              </c:pt>
              <c:pt idx="1108">
                <c:v>4.4368900000000003E-2</c:v>
              </c:pt>
              <c:pt idx="1109">
                <c:v>4.4408900000000001E-2</c:v>
              </c:pt>
              <c:pt idx="1110">
                <c:v>4.4449000000000002E-2</c:v>
              </c:pt>
              <c:pt idx="1111">
                <c:v>4.4489000000000001E-2</c:v>
              </c:pt>
              <c:pt idx="1112">
                <c:v>4.4528999999999999E-2</c:v>
              </c:pt>
              <c:pt idx="1113">
                <c:v>4.4568999999999998E-2</c:v>
              </c:pt>
              <c:pt idx="1114">
                <c:v>4.4609000000000003E-2</c:v>
              </c:pt>
              <c:pt idx="1115">
                <c:v>4.4649000000000001E-2</c:v>
              </c:pt>
              <c:pt idx="1116">
                <c:v>4.4689E-2</c:v>
              </c:pt>
              <c:pt idx="1117">
                <c:v>4.4728999999999998E-2</c:v>
              </c:pt>
              <c:pt idx="1118">
                <c:v>4.4769000000000003E-2</c:v>
              </c:pt>
              <c:pt idx="1119">
                <c:v>4.4809000000000002E-2</c:v>
              </c:pt>
              <c:pt idx="1120">
                <c:v>4.4849E-2</c:v>
              </c:pt>
              <c:pt idx="1121">
                <c:v>4.4889100000000001E-2</c:v>
              </c:pt>
              <c:pt idx="1122">
                <c:v>4.49291E-2</c:v>
              </c:pt>
              <c:pt idx="1123">
                <c:v>4.4969099999999998E-2</c:v>
              </c:pt>
              <c:pt idx="1124">
                <c:v>4.5009100000000003E-2</c:v>
              </c:pt>
              <c:pt idx="1125">
                <c:v>4.5049100000000002E-2</c:v>
              </c:pt>
              <c:pt idx="1126">
                <c:v>4.50891E-2</c:v>
              </c:pt>
              <c:pt idx="1127">
                <c:v>4.5129099999999998E-2</c:v>
              </c:pt>
              <c:pt idx="1128">
                <c:v>4.5169099999999997E-2</c:v>
              </c:pt>
              <c:pt idx="1129">
                <c:v>4.5209100000000002E-2</c:v>
              </c:pt>
              <c:pt idx="1130">
                <c:v>4.52491E-2</c:v>
              </c:pt>
              <c:pt idx="1131">
                <c:v>4.5289099999999999E-2</c:v>
              </c:pt>
              <c:pt idx="1132">
                <c:v>4.53292E-2</c:v>
              </c:pt>
              <c:pt idx="1133">
                <c:v>4.5369199999999998E-2</c:v>
              </c:pt>
              <c:pt idx="1134">
                <c:v>4.5409199999999997E-2</c:v>
              </c:pt>
              <c:pt idx="1135">
                <c:v>4.5449200000000002E-2</c:v>
              </c:pt>
              <c:pt idx="1136">
                <c:v>4.54892E-2</c:v>
              </c:pt>
              <c:pt idx="1137">
                <c:v>4.5529199999999999E-2</c:v>
              </c:pt>
              <c:pt idx="1138">
                <c:v>4.5569199999999997E-2</c:v>
              </c:pt>
              <c:pt idx="1139">
                <c:v>4.5609200000000003E-2</c:v>
              </c:pt>
              <c:pt idx="1140">
                <c:v>4.5649200000000001E-2</c:v>
              </c:pt>
              <c:pt idx="1141">
                <c:v>4.5689199999999999E-2</c:v>
              </c:pt>
              <c:pt idx="1142">
                <c:v>4.5729199999999998E-2</c:v>
              </c:pt>
              <c:pt idx="1143">
                <c:v>4.5769299999999999E-2</c:v>
              </c:pt>
              <c:pt idx="1144">
                <c:v>4.5809299999999997E-2</c:v>
              </c:pt>
              <c:pt idx="1145">
                <c:v>4.5849300000000003E-2</c:v>
              </c:pt>
              <c:pt idx="1146">
                <c:v>4.5889300000000001E-2</c:v>
              </c:pt>
              <c:pt idx="1147">
                <c:v>4.5929299999999999E-2</c:v>
              </c:pt>
              <c:pt idx="1148">
                <c:v>4.5969299999999998E-2</c:v>
              </c:pt>
              <c:pt idx="1149">
                <c:v>4.6009300000000003E-2</c:v>
              </c:pt>
              <c:pt idx="1150">
                <c:v>4.6049300000000001E-2</c:v>
              </c:pt>
              <c:pt idx="1151">
                <c:v>4.60893E-2</c:v>
              </c:pt>
              <c:pt idx="1152">
                <c:v>4.6129299999999998E-2</c:v>
              </c:pt>
              <c:pt idx="1153">
                <c:v>4.6169300000000003E-2</c:v>
              </c:pt>
              <c:pt idx="1154">
                <c:v>4.6209399999999998E-2</c:v>
              </c:pt>
              <c:pt idx="1155">
                <c:v>4.6249400000000003E-2</c:v>
              </c:pt>
              <c:pt idx="1156">
                <c:v>4.6289400000000001E-2</c:v>
              </c:pt>
              <c:pt idx="1157">
                <c:v>4.63294E-2</c:v>
              </c:pt>
              <c:pt idx="1158">
                <c:v>4.6369399999999998E-2</c:v>
              </c:pt>
              <c:pt idx="1159">
                <c:v>4.6409400000000003E-2</c:v>
              </c:pt>
              <c:pt idx="1160">
                <c:v>4.6449400000000002E-2</c:v>
              </c:pt>
              <c:pt idx="1161">
                <c:v>4.64894E-2</c:v>
              </c:pt>
              <c:pt idx="1162">
                <c:v>4.6529399999999999E-2</c:v>
              </c:pt>
              <c:pt idx="1163">
                <c:v>4.6569399999999997E-2</c:v>
              </c:pt>
              <c:pt idx="1164">
                <c:v>4.6609400000000002E-2</c:v>
              </c:pt>
              <c:pt idx="1165">
                <c:v>4.6649500000000003E-2</c:v>
              </c:pt>
              <c:pt idx="1166">
                <c:v>4.6689500000000002E-2</c:v>
              </c:pt>
              <c:pt idx="1167">
                <c:v>4.67295E-2</c:v>
              </c:pt>
              <c:pt idx="1168">
                <c:v>4.6769499999999999E-2</c:v>
              </c:pt>
              <c:pt idx="1169">
                <c:v>4.6809499999999997E-2</c:v>
              </c:pt>
              <c:pt idx="1170">
                <c:v>4.6849500000000002E-2</c:v>
              </c:pt>
              <c:pt idx="1171">
                <c:v>4.6889500000000001E-2</c:v>
              </c:pt>
              <c:pt idx="1172">
                <c:v>4.6929499999999999E-2</c:v>
              </c:pt>
              <c:pt idx="1173">
                <c:v>4.6969499999999997E-2</c:v>
              </c:pt>
              <c:pt idx="1174">
                <c:v>4.7009500000000003E-2</c:v>
              </c:pt>
              <c:pt idx="1175">
                <c:v>4.7049500000000001E-2</c:v>
              </c:pt>
              <c:pt idx="1176">
                <c:v>4.7089600000000002E-2</c:v>
              </c:pt>
              <c:pt idx="1177">
                <c:v>4.7129600000000001E-2</c:v>
              </c:pt>
              <c:pt idx="1178">
                <c:v>4.7169599999999999E-2</c:v>
              </c:pt>
              <c:pt idx="1179">
                <c:v>4.7209599999999997E-2</c:v>
              </c:pt>
              <c:pt idx="1180">
                <c:v>4.7249600000000003E-2</c:v>
              </c:pt>
              <c:pt idx="1181">
                <c:v>4.7289600000000001E-2</c:v>
              </c:pt>
              <c:pt idx="1182">
                <c:v>4.7329599999999999E-2</c:v>
              </c:pt>
              <c:pt idx="1183">
                <c:v>4.7369599999999998E-2</c:v>
              </c:pt>
              <c:pt idx="1184">
                <c:v>4.7409600000000003E-2</c:v>
              </c:pt>
              <c:pt idx="1185">
                <c:v>4.7449600000000001E-2</c:v>
              </c:pt>
              <c:pt idx="1186">
                <c:v>4.74896E-2</c:v>
              </c:pt>
              <c:pt idx="1187">
                <c:v>4.7529700000000001E-2</c:v>
              </c:pt>
              <c:pt idx="1188">
                <c:v>4.7569699999999999E-2</c:v>
              </c:pt>
              <c:pt idx="1189">
                <c:v>4.7609699999999998E-2</c:v>
              </c:pt>
              <c:pt idx="1190">
                <c:v>4.7649700000000003E-2</c:v>
              </c:pt>
              <c:pt idx="1191">
                <c:v>4.7689700000000002E-2</c:v>
              </c:pt>
              <c:pt idx="1192">
                <c:v>4.77297E-2</c:v>
              </c:pt>
              <c:pt idx="1193">
                <c:v>4.7769699999999998E-2</c:v>
              </c:pt>
              <c:pt idx="1194">
                <c:v>4.7809699999999997E-2</c:v>
              </c:pt>
              <c:pt idx="1195">
                <c:v>4.7849700000000002E-2</c:v>
              </c:pt>
              <c:pt idx="1196">
                <c:v>4.78897E-2</c:v>
              </c:pt>
              <c:pt idx="1197">
                <c:v>4.7929699999999999E-2</c:v>
              </c:pt>
              <c:pt idx="1198">
                <c:v>4.79698E-2</c:v>
              </c:pt>
              <c:pt idx="1199">
                <c:v>4.8009799999999998E-2</c:v>
              </c:pt>
              <c:pt idx="1200">
                <c:v>4.8049799999999997E-2</c:v>
              </c:pt>
              <c:pt idx="1201">
                <c:v>4.8089800000000002E-2</c:v>
              </c:pt>
              <c:pt idx="1202">
                <c:v>4.81298E-2</c:v>
              </c:pt>
              <c:pt idx="1203">
                <c:v>4.8169799999999999E-2</c:v>
              </c:pt>
              <c:pt idx="1204">
                <c:v>4.8209799999999997E-2</c:v>
              </c:pt>
              <c:pt idx="1205">
                <c:v>4.8249800000000002E-2</c:v>
              </c:pt>
              <c:pt idx="1206">
                <c:v>4.8289800000000001E-2</c:v>
              </c:pt>
              <c:pt idx="1207">
                <c:v>4.8329799999999999E-2</c:v>
              </c:pt>
              <c:pt idx="1208">
                <c:v>4.8369799999999998E-2</c:v>
              </c:pt>
              <c:pt idx="1209">
                <c:v>4.8409899999999999E-2</c:v>
              </c:pt>
              <c:pt idx="1210">
                <c:v>4.8449899999999997E-2</c:v>
              </c:pt>
              <c:pt idx="1211">
                <c:v>4.8489900000000002E-2</c:v>
              </c:pt>
              <c:pt idx="1212">
                <c:v>4.8529900000000001E-2</c:v>
              </c:pt>
              <c:pt idx="1213">
                <c:v>4.8569899999999999E-2</c:v>
              </c:pt>
              <c:pt idx="1214">
                <c:v>4.8609899999999998E-2</c:v>
              </c:pt>
              <c:pt idx="1215">
                <c:v>4.8649900000000003E-2</c:v>
              </c:pt>
              <c:pt idx="1216">
                <c:v>4.8689900000000001E-2</c:v>
              </c:pt>
              <c:pt idx="1217">
                <c:v>4.87299E-2</c:v>
              </c:pt>
              <c:pt idx="1218">
                <c:v>4.8769899999999998E-2</c:v>
              </c:pt>
              <c:pt idx="1219">
                <c:v>4.8809900000000003E-2</c:v>
              </c:pt>
              <c:pt idx="1220">
                <c:v>4.8849999999999998E-2</c:v>
              </c:pt>
              <c:pt idx="1221">
                <c:v>4.8890000000000003E-2</c:v>
              </c:pt>
              <c:pt idx="1222">
                <c:v>4.8930000000000001E-2</c:v>
              </c:pt>
              <c:pt idx="1223">
                <c:v>4.897E-2</c:v>
              </c:pt>
              <c:pt idx="1224">
                <c:v>4.9009999999999998E-2</c:v>
              </c:pt>
              <c:pt idx="1225">
                <c:v>4.9050000000000003E-2</c:v>
              </c:pt>
              <c:pt idx="1226">
                <c:v>4.9090000000000002E-2</c:v>
              </c:pt>
              <c:pt idx="1227">
                <c:v>4.913E-2</c:v>
              </c:pt>
              <c:pt idx="1228">
                <c:v>4.9169999999999998E-2</c:v>
              </c:pt>
              <c:pt idx="1229">
                <c:v>4.9209999999999997E-2</c:v>
              </c:pt>
              <c:pt idx="1230">
                <c:v>4.9250000000000002E-2</c:v>
              </c:pt>
              <c:pt idx="1231">
                <c:v>4.929E-2</c:v>
              </c:pt>
              <c:pt idx="1232">
                <c:v>4.9329999999999999E-2</c:v>
              </c:pt>
              <c:pt idx="1233">
                <c:v>4.93701E-2</c:v>
              </c:pt>
              <c:pt idx="1234">
                <c:v>4.9410099999999998E-2</c:v>
              </c:pt>
              <c:pt idx="1235">
                <c:v>4.9450099999999997E-2</c:v>
              </c:pt>
              <c:pt idx="1236">
                <c:v>4.9490100000000002E-2</c:v>
              </c:pt>
              <c:pt idx="1237">
                <c:v>4.9530100000000001E-2</c:v>
              </c:pt>
              <c:pt idx="1238">
                <c:v>4.9570099999999999E-2</c:v>
              </c:pt>
              <c:pt idx="1239">
                <c:v>4.9610099999999997E-2</c:v>
              </c:pt>
              <c:pt idx="1240">
                <c:v>4.9650100000000003E-2</c:v>
              </c:pt>
              <c:pt idx="1241">
                <c:v>4.9690100000000001E-2</c:v>
              </c:pt>
              <c:pt idx="1242">
                <c:v>4.9730099999999999E-2</c:v>
              </c:pt>
              <c:pt idx="1243">
                <c:v>4.9770099999999998E-2</c:v>
              </c:pt>
              <c:pt idx="1244">
                <c:v>4.9810100000000003E-2</c:v>
              </c:pt>
              <c:pt idx="1245">
                <c:v>4.9850100000000001E-2</c:v>
              </c:pt>
              <c:pt idx="1246">
                <c:v>4.98901E-2</c:v>
              </c:pt>
              <c:pt idx="1247">
                <c:v>4.9930099999999998E-2</c:v>
              </c:pt>
              <c:pt idx="1248">
                <c:v>4.9970100000000003E-2</c:v>
              </c:pt>
              <c:pt idx="1249">
                <c:v>5.0010100000000002E-2</c:v>
              </c:pt>
              <c:pt idx="1250">
                <c:v>5.0050200000000003E-2</c:v>
              </c:pt>
              <c:pt idx="1251">
                <c:v>5.0090200000000001E-2</c:v>
              </c:pt>
              <c:pt idx="1252">
                <c:v>5.01302E-2</c:v>
              </c:pt>
              <c:pt idx="1253">
                <c:v>5.0170199999999998E-2</c:v>
              </c:pt>
              <c:pt idx="1254">
                <c:v>5.0210200000000003E-2</c:v>
              </c:pt>
              <c:pt idx="1255">
                <c:v>5.0250200000000002E-2</c:v>
              </c:pt>
              <c:pt idx="1256">
                <c:v>5.02902E-2</c:v>
              </c:pt>
              <c:pt idx="1257">
                <c:v>5.0330199999999999E-2</c:v>
              </c:pt>
              <c:pt idx="1258">
                <c:v>5.0370199999999997E-2</c:v>
              </c:pt>
              <c:pt idx="1259">
                <c:v>5.0410200000000002E-2</c:v>
              </c:pt>
              <c:pt idx="1260">
                <c:v>5.0450200000000001E-2</c:v>
              </c:pt>
              <c:pt idx="1261">
                <c:v>5.0490199999999999E-2</c:v>
              </c:pt>
              <c:pt idx="1262">
                <c:v>5.0530199999999997E-2</c:v>
              </c:pt>
              <c:pt idx="1263">
                <c:v>5.0570200000000003E-2</c:v>
              </c:pt>
              <c:pt idx="1264">
                <c:v>5.0610200000000001E-2</c:v>
              </c:pt>
              <c:pt idx="1265">
                <c:v>5.0650199999999999E-2</c:v>
              </c:pt>
              <c:pt idx="1266">
                <c:v>5.0690199999999998E-2</c:v>
              </c:pt>
              <c:pt idx="1267">
                <c:v>5.0730200000000003E-2</c:v>
              </c:pt>
              <c:pt idx="1268">
                <c:v>5.0770200000000001E-2</c:v>
              </c:pt>
              <c:pt idx="1269">
                <c:v>5.0810300000000003E-2</c:v>
              </c:pt>
              <c:pt idx="1270">
                <c:v>5.0850300000000001E-2</c:v>
              </c:pt>
              <c:pt idx="1271">
                <c:v>5.0890299999999999E-2</c:v>
              </c:pt>
              <c:pt idx="1272">
                <c:v>5.0930299999999998E-2</c:v>
              </c:pt>
              <c:pt idx="1273">
                <c:v>5.0970300000000003E-2</c:v>
              </c:pt>
              <c:pt idx="1274">
                <c:v>5.1010300000000001E-2</c:v>
              </c:pt>
              <c:pt idx="1275">
                <c:v>5.10503E-2</c:v>
              </c:pt>
              <c:pt idx="1276">
                <c:v>5.1090299999999998E-2</c:v>
              </c:pt>
              <c:pt idx="1277">
                <c:v>5.1130299999999997E-2</c:v>
              </c:pt>
              <c:pt idx="1278">
                <c:v>5.1170300000000002E-2</c:v>
              </c:pt>
              <c:pt idx="1279">
                <c:v>5.12103E-2</c:v>
              </c:pt>
              <c:pt idx="1280">
                <c:v>5.1250299999999999E-2</c:v>
              </c:pt>
              <c:pt idx="1281">
                <c:v>5.1290299999999997E-2</c:v>
              </c:pt>
              <c:pt idx="1282">
                <c:v>5.1330300000000002E-2</c:v>
              </c:pt>
              <c:pt idx="1283">
                <c:v>5.1370300000000001E-2</c:v>
              </c:pt>
              <c:pt idx="1284">
                <c:v>5.1410299999999999E-2</c:v>
              </c:pt>
              <c:pt idx="1285">
                <c:v>5.1450299999999997E-2</c:v>
              </c:pt>
              <c:pt idx="1286">
                <c:v>5.1490300000000003E-2</c:v>
              </c:pt>
              <c:pt idx="1287">
                <c:v>5.1530300000000001E-2</c:v>
              </c:pt>
              <c:pt idx="1288">
                <c:v>5.1570299999999999E-2</c:v>
              </c:pt>
              <c:pt idx="1289">
                <c:v>5.1610299999999998E-2</c:v>
              </c:pt>
              <c:pt idx="1290">
                <c:v>5.1650300000000003E-2</c:v>
              </c:pt>
              <c:pt idx="1291">
                <c:v>5.1690300000000002E-2</c:v>
              </c:pt>
              <c:pt idx="1292">
                <c:v>5.17303E-2</c:v>
              </c:pt>
              <c:pt idx="1293">
                <c:v>5.1770299999999998E-2</c:v>
              </c:pt>
              <c:pt idx="1294">
                <c:v>5.1810299999999997E-2</c:v>
              </c:pt>
              <c:pt idx="1295">
                <c:v>5.1850300000000002E-2</c:v>
              </c:pt>
              <c:pt idx="1296">
                <c:v>5.18903E-2</c:v>
              </c:pt>
              <c:pt idx="1297">
                <c:v>5.1930299999999999E-2</c:v>
              </c:pt>
              <c:pt idx="1298">
                <c:v>5.1970299999999997E-2</c:v>
              </c:pt>
              <c:pt idx="1299">
                <c:v>5.2010399999999998E-2</c:v>
              </c:pt>
              <c:pt idx="1300">
                <c:v>5.2050399999999997E-2</c:v>
              </c:pt>
              <c:pt idx="1301">
                <c:v>5.2090400000000002E-2</c:v>
              </c:pt>
              <c:pt idx="1302">
                <c:v>5.21304E-2</c:v>
              </c:pt>
              <c:pt idx="1303">
                <c:v>5.2170399999999999E-2</c:v>
              </c:pt>
              <c:pt idx="1304">
                <c:v>5.2210399999999997E-2</c:v>
              </c:pt>
              <c:pt idx="1305">
                <c:v>5.2250400000000002E-2</c:v>
              </c:pt>
              <c:pt idx="1306">
                <c:v>5.2290400000000001E-2</c:v>
              </c:pt>
              <c:pt idx="1307">
                <c:v>5.2330399999999999E-2</c:v>
              </c:pt>
              <c:pt idx="1308">
                <c:v>5.2370399999999998E-2</c:v>
              </c:pt>
              <c:pt idx="1309">
                <c:v>5.2410400000000003E-2</c:v>
              </c:pt>
              <c:pt idx="1310">
                <c:v>5.2450400000000001E-2</c:v>
              </c:pt>
              <c:pt idx="1311">
                <c:v>5.24904E-2</c:v>
              </c:pt>
              <c:pt idx="1312">
                <c:v>5.2530399999999998E-2</c:v>
              </c:pt>
              <c:pt idx="1313">
                <c:v>5.2570400000000003E-2</c:v>
              </c:pt>
              <c:pt idx="1314">
                <c:v>5.2610400000000002E-2</c:v>
              </c:pt>
              <c:pt idx="1315">
                <c:v>5.26504E-2</c:v>
              </c:pt>
              <c:pt idx="1316">
                <c:v>5.2690399999999998E-2</c:v>
              </c:pt>
              <c:pt idx="1317">
                <c:v>5.2730399999999997E-2</c:v>
              </c:pt>
              <c:pt idx="1318">
                <c:v>5.2770400000000002E-2</c:v>
              </c:pt>
              <c:pt idx="1319">
                <c:v>5.28104E-2</c:v>
              </c:pt>
              <c:pt idx="1320">
                <c:v>5.2850399999999999E-2</c:v>
              </c:pt>
              <c:pt idx="1321">
                <c:v>5.2890399999999997E-2</c:v>
              </c:pt>
              <c:pt idx="1322">
                <c:v>5.2930400000000002E-2</c:v>
              </c:pt>
              <c:pt idx="1323">
                <c:v>5.2970400000000001E-2</c:v>
              </c:pt>
              <c:pt idx="1324">
                <c:v>5.3010399999999999E-2</c:v>
              </c:pt>
              <c:pt idx="1325">
                <c:v>5.3050399999999998E-2</c:v>
              </c:pt>
              <c:pt idx="1326">
                <c:v>5.3090400000000003E-2</c:v>
              </c:pt>
              <c:pt idx="1327">
                <c:v>5.3130400000000001E-2</c:v>
              </c:pt>
              <c:pt idx="1328">
                <c:v>5.31704E-2</c:v>
              </c:pt>
              <c:pt idx="1329">
                <c:v>5.3210500000000001E-2</c:v>
              </c:pt>
              <c:pt idx="1330">
                <c:v>5.3250499999999999E-2</c:v>
              </c:pt>
              <c:pt idx="1331">
                <c:v>5.3290499999999998E-2</c:v>
              </c:pt>
              <c:pt idx="1332">
                <c:v>5.3330500000000003E-2</c:v>
              </c:pt>
              <c:pt idx="1333">
                <c:v>5.3370500000000001E-2</c:v>
              </c:pt>
              <c:pt idx="1334">
                <c:v>5.34105E-2</c:v>
              </c:pt>
              <c:pt idx="1335">
                <c:v>5.3450499999999998E-2</c:v>
              </c:pt>
              <c:pt idx="1336">
                <c:v>5.3490500000000003E-2</c:v>
              </c:pt>
              <c:pt idx="1337">
                <c:v>5.3530500000000002E-2</c:v>
              </c:pt>
              <c:pt idx="1338">
                <c:v>5.35705E-2</c:v>
              </c:pt>
              <c:pt idx="1339">
                <c:v>5.3610499999999998E-2</c:v>
              </c:pt>
              <c:pt idx="1340">
                <c:v>5.3650499999999997E-2</c:v>
              </c:pt>
              <c:pt idx="1341">
                <c:v>5.3690500000000002E-2</c:v>
              </c:pt>
              <c:pt idx="1342">
                <c:v>5.37305E-2</c:v>
              </c:pt>
              <c:pt idx="1343">
                <c:v>5.3770499999999999E-2</c:v>
              </c:pt>
              <c:pt idx="1344">
                <c:v>5.3810499999999997E-2</c:v>
              </c:pt>
              <c:pt idx="1345">
                <c:v>5.3850500000000003E-2</c:v>
              </c:pt>
              <c:pt idx="1346">
                <c:v>5.3890500000000001E-2</c:v>
              </c:pt>
              <c:pt idx="1347">
                <c:v>5.3930499999999999E-2</c:v>
              </c:pt>
              <c:pt idx="1348">
                <c:v>5.3970499999999998E-2</c:v>
              </c:pt>
              <c:pt idx="1349">
                <c:v>5.4010500000000003E-2</c:v>
              </c:pt>
              <c:pt idx="1350">
                <c:v>5.4050500000000001E-2</c:v>
              </c:pt>
              <c:pt idx="1351">
                <c:v>5.40905E-2</c:v>
              </c:pt>
              <c:pt idx="1352">
                <c:v>5.4130499999999998E-2</c:v>
              </c:pt>
              <c:pt idx="1353">
                <c:v>5.4170500000000003E-2</c:v>
              </c:pt>
              <c:pt idx="1354">
                <c:v>5.4210500000000002E-2</c:v>
              </c:pt>
              <c:pt idx="1355">
                <c:v>5.42505E-2</c:v>
              </c:pt>
              <c:pt idx="1356">
                <c:v>5.4290499999999998E-2</c:v>
              </c:pt>
              <c:pt idx="1357">
                <c:v>5.4330499999999997E-2</c:v>
              </c:pt>
              <c:pt idx="1358">
                <c:v>5.4370500000000002E-2</c:v>
              </c:pt>
              <c:pt idx="1359">
                <c:v>5.4410600000000003E-2</c:v>
              </c:pt>
              <c:pt idx="1360">
                <c:v>5.4450600000000002E-2</c:v>
              </c:pt>
              <c:pt idx="1361">
                <c:v>5.44906E-2</c:v>
              </c:pt>
              <c:pt idx="1362">
                <c:v>5.4530599999999999E-2</c:v>
              </c:pt>
              <c:pt idx="1363">
                <c:v>5.4570599999999997E-2</c:v>
              </c:pt>
              <c:pt idx="1364">
                <c:v>5.4610600000000002E-2</c:v>
              </c:pt>
              <c:pt idx="1365">
                <c:v>5.4650600000000001E-2</c:v>
              </c:pt>
              <c:pt idx="1366">
                <c:v>5.4690599999999999E-2</c:v>
              </c:pt>
              <c:pt idx="1367">
                <c:v>5.4730599999999997E-2</c:v>
              </c:pt>
              <c:pt idx="1368">
                <c:v>5.4770600000000003E-2</c:v>
              </c:pt>
              <c:pt idx="1369">
                <c:v>5.4810600000000001E-2</c:v>
              </c:pt>
              <c:pt idx="1370">
                <c:v>5.4850599999999999E-2</c:v>
              </c:pt>
              <c:pt idx="1371">
                <c:v>5.4890599999999998E-2</c:v>
              </c:pt>
              <c:pt idx="1372">
                <c:v>5.4930600000000003E-2</c:v>
              </c:pt>
              <c:pt idx="1373">
                <c:v>5.4970600000000001E-2</c:v>
              </c:pt>
              <c:pt idx="1374">
                <c:v>5.50106E-2</c:v>
              </c:pt>
              <c:pt idx="1375">
                <c:v>5.5050599999999998E-2</c:v>
              </c:pt>
              <c:pt idx="1376">
                <c:v>5.5090600000000003E-2</c:v>
              </c:pt>
              <c:pt idx="1377">
                <c:v>5.5130600000000002E-2</c:v>
              </c:pt>
              <c:pt idx="1378">
                <c:v>5.51706E-2</c:v>
              </c:pt>
              <c:pt idx="1379">
                <c:v>5.5210599999999999E-2</c:v>
              </c:pt>
              <c:pt idx="1380">
                <c:v>5.5250599999999997E-2</c:v>
              </c:pt>
              <c:pt idx="1381">
                <c:v>5.5290600000000002E-2</c:v>
              </c:pt>
              <c:pt idx="1382">
                <c:v>5.5330600000000001E-2</c:v>
              </c:pt>
              <c:pt idx="1383">
                <c:v>5.5370599999999999E-2</c:v>
              </c:pt>
              <c:pt idx="1384">
                <c:v>5.5410599999999997E-2</c:v>
              </c:pt>
              <c:pt idx="1385">
                <c:v>5.5450600000000003E-2</c:v>
              </c:pt>
              <c:pt idx="1386">
                <c:v>5.5490600000000001E-2</c:v>
              </c:pt>
              <c:pt idx="1387">
                <c:v>5.5530599999999999E-2</c:v>
              </c:pt>
              <c:pt idx="1388">
                <c:v>5.5570599999999998E-2</c:v>
              </c:pt>
              <c:pt idx="1389">
                <c:v>5.5610699999999999E-2</c:v>
              </c:pt>
              <c:pt idx="1390">
                <c:v>5.5650699999999997E-2</c:v>
              </c:pt>
              <c:pt idx="1391">
                <c:v>5.5690700000000003E-2</c:v>
              </c:pt>
              <c:pt idx="1392">
                <c:v>5.5730700000000001E-2</c:v>
              </c:pt>
              <c:pt idx="1393">
                <c:v>5.5770699999999999E-2</c:v>
              </c:pt>
              <c:pt idx="1394">
                <c:v>5.5810699999999998E-2</c:v>
              </c:pt>
              <c:pt idx="1395">
                <c:v>5.5850700000000003E-2</c:v>
              </c:pt>
              <c:pt idx="1396">
                <c:v>5.5890700000000001E-2</c:v>
              </c:pt>
              <c:pt idx="1397">
                <c:v>5.59307E-2</c:v>
              </c:pt>
              <c:pt idx="1398">
                <c:v>5.5970699999999998E-2</c:v>
              </c:pt>
              <c:pt idx="1399">
                <c:v>5.6010699999999997E-2</c:v>
              </c:pt>
              <c:pt idx="1400">
                <c:v>5.6050700000000002E-2</c:v>
              </c:pt>
              <c:pt idx="1401">
                <c:v>5.60907E-2</c:v>
              </c:pt>
              <c:pt idx="1402">
                <c:v>5.6130699999999999E-2</c:v>
              </c:pt>
              <c:pt idx="1403">
                <c:v>5.6170699999999997E-2</c:v>
              </c:pt>
              <c:pt idx="1404">
                <c:v>5.6210700000000002E-2</c:v>
              </c:pt>
              <c:pt idx="1405">
                <c:v>5.6250700000000001E-2</c:v>
              </c:pt>
              <c:pt idx="1406">
                <c:v>5.6290699999999999E-2</c:v>
              </c:pt>
              <c:pt idx="1407">
                <c:v>5.6330699999999997E-2</c:v>
              </c:pt>
              <c:pt idx="1408">
                <c:v>5.6370700000000003E-2</c:v>
              </c:pt>
              <c:pt idx="1409">
                <c:v>5.6410700000000001E-2</c:v>
              </c:pt>
              <c:pt idx="1410">
                <c:v>5.6450699999999999E-2</c:v>
              </c:pt>
              <c:pt idx="1411">
                <c:v>5.6490699999999998E-2</c:v>
              </c:pt>
              <c:pt idx="1412">
                <c:v>5.6530700000000003E-2</c:v>
              </c:pt>
              <c:pt idx="1413">
                <c:v>5.6570700000000002E-2</c:v>
              </c:pt>
              <c:pt idx="1414">
                <c:v>5.66107E-2</c:v>
              </c:pt>
              <c:pt idx="1415">
                <c:v>5.6650699999999998E-2</c:v>
              </c:pt>
              <c:pt idx="1416">
                <c:v>5.6690699999999997E-2</c:v>
              </c:pt>
              <c:pt idx="1417">
                <c:v>5.6730700000000002E-2</c:v>
              </c:pt>
              <c:pt idx="1418">
                <c:v>5.67707E-2</c:v>
              </c:pt>
              <c:pt idx="1419">
                <c:v>5.6810800000000002E-2</c:v>
              </c:pt>
              <c:pt idx="1420">
                <c:v>5.68508E-2</c:v>
              </c:pt>
              <c:pt idx="1421">
                <c:v>5.6890799999999998E-2</c:v>
              </c:pt>
              <c:pt idx="1422">
                <c:v>5.6930799999999997E-2</c:v>
              </c:pt>
              <c:pt idx="1423">
                <c:v>5.6970800000000002E-2</c:v>
              </c:pt>
              <c:pt idx="1424">
                <c:v>5.70108E-2</c:v>
              </c:pt>
              <c:pt idx="1425">
                <c:v>5.7050799999999999E-2</c:v>
              </c:pt>
              <c:pt idx="1426">
                <c:v>5.7090799999999997E-2</c:v>
              </c:pt>
              <c:pt idx="1427">
                <c:v>5.7130800000000002E-2</c:v>
              </c:pt>
              <c:pt idx="1428">
                <c:v>5.7170800000000001E-2</c:v>
              </c:pt>
              <c:pt idx="1429">
                <c:v>5.7210799999999999E-2</c:v>
              </c:pt>
              <c:pt idx="1430">
                <c:v>5.7250799999999998E-2</c:v>
              </c:pt>
              <c:pt idx="1431">
                <c:v>5.7290800000000003E-2</c:v>
              </c:pt>
              <c:pt idx="1432">
                <c:v>5.7330800000000001E-2</c:v>
              </c:pt>
              <c:pt idx="1433">
                <c:v>5.73708E-2</c:v>
              </c:pt>
              <c:pt idx="1434">
                <c:v>5.7410799999999998E-2</c:v>
              </c:pt>
              <c:pt idx="1435">
                <c:v>5.7450800000000003E-2</c:v>
              </c:pt>
              <c:pt idx="1436">
                <c:v>5.7490800000000002E-2</c:v>
              </c:pt>
              <c:pt idx="1437">
                <c:v>5.75308E-2</c:v>
              </c:pt>
              <c:pt idx="1438">
                <c:v>5.7570799999999998E-2</c:v>
              </c:pt>
              <c:pt idx="1439">
                <c:v>5.7610799999999997E-2</c:v>
              </c:pt>
              <c:pt idx="1440">
                <c:v>5.7650800000000002E-2</c:v>
              </c:pt>
              <c:pt idx="1441">
                <c:v>5.76908E-2</c:v>
              </c:pt>
              <c:pt idx="1442">
                <c:v>5.7730799999999999E-2</c:v>
              </c:pt>
              <c:pt idx="1443">
                <c:v>5.7770799999999997E-2</c:v>
              </c:pt>
              <c:pt idx="1444">
                <c:v>5.7810800000000002E-2</c:v>
              </c:pt>
              <c:pt idx="1445">
                <c:v>5.7850800000000001E-2</c:v>
              </c:pt>
              <c:pt idx="1446">
                <c:v>5.7890799999999999E-2</c:v>
              </c:pt>
              <c:pt idx="1447">
                <c:v>5.7930799999999998E-2</c:v>
              </c:pt>
              <c:pt idx="1448">
                <c:v>5.7970800000000003E-2</c:v>
              </c:pt>
              <c:pt idx="1449">
                <c:v>5.8010800000000001E-2</c:v>
              </c:pt>
              <c:pt idx="1450">
                <c:v>5.80508E-2</c:v>
              </c:pt>
              <c:pt idx="1451">
                <c:v>5.8090799999999998E-2</c:v>
              </c:pt>
              <c:pt idx="1452">
                <c:v>5.8130800000000003E-2</c:v>
              </c:pt>
              <c:pt idx="1453">
                <c:v>5.8170800000000002E-2</c:v>
              </c:pt>
              <c:pt idx="1454">
                <c:v>5.82108E-2</c:v>
              </c:pt>
              <c:pt idx="1455">
                <c:v>5.8250799999999998E-2</c:v>
              </c:pt>
              <c:pt idx="1456">
                <c:v>5.8290799999999997E-2</c:v>
              </c:pt>
              <c:pt idx="1457">
                <c:v>5.8330800000000002E-2</c:v>
              </c:pt>
              <c:pt idx="1458">
                <c:v>5.8370900000000003E-2</c:v>
              </c:pt>
              <c:pt idx="1459">
                <c:v>5.8410900000000002E-2</c:v>
              </c:pt>
              <c:pt idx="1460">
                <c:v>5.84509E-2</c:v>
              </c:pt>
              <c:pt idx="1461">
                <c:v>5.8490899999999998E-2</c:v>
              </c:pt>
              <c:pt idx="1462">
                <c:v>5.8530899999999997E-2</c:v>
              </c:pt>
              <c:pt idx="1463">
                <c:v>5.8570900000000002E-2</c:v>
              </c:pt>
              <c:pt idx="1464">
                <c:v>5.86109E-2</c:v>
              </c:pt>
              <c:pt idx="1465">
                <c:v>5.8650899999999999E-2</c:v>
              </c:pt>
              <c:pt idx="1466">
                <c:v>5.8690899999999997E-2</c:v>
              </c:pt>
              <c:pt idx="1467">
                <c:v>5.8730900000000003E-2</c:v>
              </c:pt>
              <c:pt idx="1468">
                <c:v>5.8770900000000001E-2</c:v>
              </c:pt>
              <c:pt idx="1469">
                <c:v>5.8810899999999999E-2</c:v>
              </c:pt>
              <c:pt idx="1470">
                <c:v>5.8850899999999998E-2</c:v>
              </c:pt>
              <c:pt idx="1471">
                <c:v>5.8890900000000003E-2</c:v>
              </c:pt>
              <c:pt idx="1472">
                <c:v>5.8930900000000001E-2</c:v>
              </c:pt>
              <c:pt idx="1473">
                <c:v>5.89709E-2</c:v>
              </c:pt>
              <c:pt idx="1474">
                <c:v>5.9010899999999998E-2</c:v>
              </c:pt>
              <c:pt idx="1475">
                <c:v>5.9050900000000003E-2</c:v>
              </c:pt>
              <c:pt idx="1476">
                <c:v>5.9090900000000002E-2</c:v>
              </c:pt>
              <c:pt idx="1477">
                <c:v>5.91309E-2</c:v>
              </c:pt>
              <c:pt idx="1478">
                <c:v>5.9170899999999998E-2</c:v>
              </c:pt>
              <c:pt idx="1479">
                <c:v>5.9210899999999997E-2</c:v>
              </c:pt>
              <c:pt idx="1480">
                <c:v>5.9250900000000002E-2</c:v>
              </c:pt>
              <c:pt idx="1481">
                <c:v>5.9290900000000001E-2</c:v>
              </c:pt>
              <c:pt idx="1482">
                <c:v>5.9330899999999999E-2</c:v>
              </c:pt>
              <c:pt idx="1483">
                <c:v>5.9370899999999997E-2</c:v>
              </c:pt>
              <c:pt idx="1484">
                <c:v>5.9410900000000003E-2</c:v>
              </c:pt>
              <c:pt idx="1485">
                <c:v>5.9450900000000001E-2</c:v>
              </c:pt>
              <c:pt idx="1486">
                <c:v>5.9490899999999999E-2</c:v>
              </c:pt>
              <c:pt idx="1487">
                <c:v>5.9530899999999998E-2</c:v>
              </c:pt>
              <c:pt idx="1488">
                <c:v>5.9570900000000003E-2</c:v>
              </c:pt>
              <c:pt idx="1489">
                <c:v>5.9610900000000001E-2</c:v>
              </c:pt>
              <c:pt idx="1490">
                <c:v>5.96509E-2</c:v>
              </c:pt>
              <c:pt idx="1491">
                <c:v>5.9690899999999998E-2</c:v>
              </c:pt>
              <c:pt idx="1492">
                <c:v>5.9730900000000003E-2</c:v>
              </c:pt>
              <c:pt idx="1493">
                <c:v>5.9770900000000002E-2</c:v>
              </c:pt>
              <c:pt idx="1494">
                <c:v>5.98109E-2</c:v>
              </c:pt>
              <c:pt idx="1495">
                <c:v>5.9850899999999999E-2</c:v>
              </c:pt>
              <c:pt idx="1496">
                <c:v>5.9890899999999997E-2</c:v>
              </c:pt>
              <c:pt idx="1497">
                <c:v>5.9930900000000002E-2</c:v>
              </c:pt>
              <c:pt idx="1498">
                <c:v>5.9970900000000001E-2</c:v>
              </c:pt>
              <c:pt idx="1499">
                <c:v>6.0010899999999999E-2</c:v>
              </c:pt>
              <c:pt idx="1500">
                <c:v>6.0050899999999997E-2</c:v>
              </c:pt>
              <c:pt idx="1501">
                <c:v>6.0090999999999999E-2</c:v>
              </c:pt>
              <c:pt idx="1502">
                <c:v>6.0130999999999997E-2</c:v>
              </c:pt>
              <c:pt idx="1503">
                <c:v>6.0171000000000002E-2</c:v>
              </c:pt>
              <c:pt idx="1504">
                <c:v>6.0211000000000001E-2</c:v>
              </c:pt>
              <c:pt idx="1505">
                <c:v>6.0250999999999999E-2</c:v>
              </c:pt>
              <c:pt idx="1506">
                <c:v>6.0290999999999997E-2</c:v>
              </c:pt>
              <c:pt idx="1507">
                <c:v>6.0331000000000003E-2</c:v>
              </c:pt>
              <c:pt idx="1508">
                <c:v>6.0371000000000001E-2</c:v>
              </c:pt>
              <c:pt idx="1509">
                <c:v>6.0410999999999999E-2</c:v>
              </c:pt>
              <c:pt idx="1510">
                <c:v>6.0450999999999998E-2</c:v>
              </c:pt>
              <c:pt idx="1511">
                <c:v>6.0491000000000003E-2</c:v>
              </c:pt>
              <c:pt idx="1512">
                <c:v>6.0531000000000001E-2</c:v>
              </c:pt>
              <c:pt idx="1513">
                <c:v>6.0571E-2</c:v>
              </c:pt>
              <c:pt idx="1514">
                <c:v>6.0610999999999998E-2</c:v>
              </c:pt>
              <c:pt idx="1515">
                <c:v>6.0650999999999997E-2</c:v>
              </c:pt>
              <c:pt idx="1516">
                <c:v>6.0691000000000002E-2</c:v>
              </c:pt>
              <c:pt idx="1517">
                <c:v>6.0731E-2</c:v>
              </c:pt>
              <c:pt idx="1518">
                <c:v>6.0770999999999999E-2</c:v>
              </c:pt>
              <c:pt idx="1519">
                <c:v>6.0810999999999997E-2</c:v>
              </c:pt>
              <c:pt idx="1520">
                <c:v>6.0851000000000002E-2</c:v>
              </c:pt>
              <c:pt idx="1521">
                <c:v>6.0891000000000001E-2</c:v>
              </c:pt>
              <c:pt idx="1522">
                <c:v>6.0930999999999999E-2</c:v>
              </c:pt>
              <c:pt idx="1523">
                <c:v>6.0970999999999997E-2</c:v>
              </c:pt>
              <c:pt idx="1524">
                <c:v>6.1011000000000003E-2</c:v>
              </c:pt>
              <c:pt idx="1525">
                <c:v>6.1051000000000001E-2</c:v>
              </c:pt>
              <c:pt idx="1526">
                <c:v>6.1090999999999999E-2</c:v>
              </c:pt>
              <c:pt idx="1527">
                <c:v>6.1130999999999998E-2</c:v>
              </c:pt>
              <c:pt idx="1528">
                <c:v>6.1171000000000003E-2</c:v>
              </c:pt>
              <c:pt idx="1529">
                <c:v>6.1211000000000002E-2</c:v>
              </c:pt>
              <c:pt idx="1530">
                <c:v>6.1251E-2</c:v>
              </c:pt>
              <c:pt idx="1531">
                <c:v>6.1290999999999998E-2</c:v>
              </c:pt>
              <c:pt idx="1532">
                <c:v>6.1330999999999997E-2</c:v>
              </c:pt>
              <c:pt idx="1533">
                <c:v>6.1371000000000002E-2</c:v>
              </c:pt>
              <c:pt idx="1534">
                <c:v>6.1411E-2</c:v>
              </c:pt>
              <c:pt idx="1535">
                <c:v>6.1450999999999999E-2</c:v>
              </c:pt>
              <c:pt idx="1536">
                <c:v>6.1490999999999997E-2</c:v>
              </c:pt>
              <c:pt idx="1537">
                <c:v>6.1531000000000002E-2</c:v>
              </c:pt>
              <c:pt idx="1538">
                <c:v>6.1571000000000001E-2</c:v>
              </c:pt>
              <c:pt idx="1539">
                <c:v>6.1610999999999999E-2</c:v>
              </c:pt>
              <c:pt idx="1540">
                <c:v>6.1650999999999997E-2</c:v>
              </c:pt>
              <c:pt idx="1541">
                <c:v>6.1691000000000003E-2</c:v>
              </c:pt>
              <c:pt idx="1542">
                <c:v>6.1731000000000001E-2</c:v>
              </c:pt>
              <c:pt idx="1543">
                <c:v>6.1771E-2</c:v>
              </c:pt>
              <c:pt idx="1544">
                <c:v>6.1811100000000001E-2</c:v>
              </c:pt>
              <c:pt idx="1545">
                <c:v>6.1851099999999999E-2</c:v>
              </c:pt>
              <c:pt idx="1546">
                <c:v>6.1891099999999998E-2</c:v>
              </c:pt>
              <c:pt idx="1547">
                <c:v>6.1931100000000003E-2</c:v>
              </c:pt>
              <c:pt idx="1548">
                <c:v>6.1971100000000001E-2</c:v>
              </c:pt>
              <c:pt idx="1549">
                <c:v>6.20111E-2</c:v>
              </c:pt>
              <c:pt idx="1550">
                <c:v>6.2051099999999998E-2</c:v>
              </c:pt>
              <c:pt idx="1551">
                <c:v>6.2091100000000003E-2</c:v>
              </c:pt>
              <c:pt idx="1552">
                <c:v>6.2131100000000002E-2</c:v>
              </c:pt>
              <c:pt idx="1553">
                <c:v>6.21711E-2</c:v>
              </c:pt>
              <c:pt idx="1554">
                <c:v>6.2211099999999998E-2</c:v>
              </c:pt>
              <c:pt idx="1555">
                <c:v>6.2251099999999997E-2</c:v>
              </c:pt>
              <c:pt idx="1556">
                <c:v>6.2291100000000002E-2</c:v>
              </c:pt>
              <c:pt idx="1557">
                <c:v>6.23311E-2</c:v>
              </c:pt>
              <c:pt idx="1558">
                <c:v>6.2371099999999999E-2</c:v>
              </c:pt>
              <c:pt idx="1559">
                <c:v>6.2411099999999997E-2</c:v>
              </c:pt>
              <c:pt idx="1560">
                <c:v>6.2451100000000002E-2</c:v>
              </c:pt>
              <c:pt idx="1561">
                <c:v>6.2491100000000001E-2</c:v>
              </c:pt>
              <c:pt idx="1562">
                <c:v>6.2531100000000006E-2</c:v>
              </c:pt>
              <c:pt idx="1563">
                <c:v>6.2571100000000004E-2</c:v>
              </c:pt>
              <c:pt idx="1564">
                <c:v>6.2611100000000003E-2</c:v>
              </c:pt>
              <c:pt idx="1565">
                <c:v>6.2651100000000001E-2</c:v>
              </c:pt>
              <c:pt idx="1566">
                <c:v>6.26911E-2</c:v>
              </c:pt>
              <c:pt idx="1567">
                <c:v>6.2731099999999998E-2</c:v>
              </c:pt>
              <c:pt idx="1568">
                <c:v>6.2771099999999996E-2</c:v>
              </c:pt>
              <c:pt idx="1569">
                <c:v>6.2811099999999995E-2</c:v>
              </c:pt>
              <c:pt idx="1570">
                <c:v>6.2851099999999993E-2</c:v>
              </c:pt>
              <c:pt idx="1571">
                <c:v>6.2891100000000005E-2</c:v>
              </c:pt>
              <c:pt idx="1572">
                <c:v>6.2931100000000004E-2</c:v>
              </c:pt>
              <c:pt idx="1573">
                <c:v>6.2971100000000002E-2</c:v>
              </c:pt>
              <c:pt idx="1574">
                <c:v>6.30111E-2</c:v>
              </c:pt>
              <c:pt idx="1575">
                <c:v>6.3051099999999999E-2</c:v>
              </c:pt>
              <c:pt idx="1576">
                <c:v>6.3091099999999997E-2</c:v>
              </c:pt>
              <c:pt idx="1577">
                <c:v>6.3131099999999996E-2</c:v>
              </c:pt>
              <c:pt idx="1578">
                <c:v>6.3171099999999994E-2</c:v>
              </c:pt>
              <c:pt idx="1579">
                <c:v>6.3211100000000006E-2</c:v>
              </c:pt>
              <c:pt idx="1580">
                <c:v>6.3251100000000005E-2</c:v>
              </c:pt>
              <c:pt idx="1581">
                <c:v>6.3291100000000003E-2</c:v>
              </c:pt>
              <c:pt idx="1582">
                <c:v>6.3331100000000001E-2</c:v>
              </c:pt>
              <c:pt idx="1583">
                <c:v>6.33711E-2</c:v>
              </c:pt>
              <c:pt idx="1584">
                <c:v>6.3411099999999998E-2</c:v>
              </c:pt>
              <c:pt idx="1585">
                <c:v>6.3451099999999996E-2</c:v>
              </c:pt>
              <c:pt idx="1586">
                <c:v>6.3491099999999995E-2</c:v>
              </c:pt>
              <c:pt idx="1587">
                <c:v>6.3531199999999996E-2</c:v>
              </c:pt>
              <c:pt idx="1588">
                <c:v>6.3571199999999994E-2</c:v>
              </c:pt>
              <c:pt idx="1589">
                <c:v>6.3611200000000007E-2</c:v>
              </c:pt>
              <c:pt idx="1590">
                <c:v>6.3651200000000005E-2</c:v>
              </c:pt>
              <c:pt idx="1591">
                <c:v>6.3691200000000003E-2</c:v>
              </c:pt>
              <c:pt idx="1592">
                <c:v>6.3731200000000002E-2</c:v>
              </c:pt>
              <c:pt idx="1593">
                <c:v>6.37712E-2</c:v>
              </c:pt>
              <c:pt idx="1594">
                <c:v>6.3811199999999998E-2</c:v>
              </c:pt>
              <c:pt idx="1595">
                <c:v>6.3851199999999997E-2</c:v>
              </c:pt>
              <c:pt idx="1596">
                <c:v>6.3891199999999995E-2</c:v>
              </c:pt>
              <c:pt idx="1597">
                <c:v>6.3931199999999994E-2</c:v>
              </c:pt>
              <c:pt idx="1598">
                <c:v>6.3971200000000006E-2</c:v>
              </c:pt>
              <c:pt idx="1599">
                <c:v>6.4011200000000004E-2</c:v>
              </c:pt>
              <c:pt idx="1600">
                <c:v>6.4051200000000003E-2</c:v>
              </c:pt>
              <c:pt idx="1601">
                <c:v>6.4091200000000001E-2</c:v>
              </c:pt>
              <c:pt idx="1602">
                <c:v>6.4131199999999999E-2</c:v>
              </c:pt>
              <c:pt idx="1603">
                <c:v>6.4171199999999998E-2</c:v>
              </c:pt>
              <c:pt idx="1604">
                <c:v>6.4211199999999996E-2</c:v>
              </c:pt>
              <c:pt idx="1605">
                <c:v>6.4251199999999994E-2</c:v>
              </c:pt>
              <c:pt idx="1606">
                <c:v>6.4291200000000007E-2</c:v>
              </c:pt>
              <c:pt idx="1607">
                <c:v>6.4331200000000005E-2</c:v>
              </c:pt>
              <c:pt idx="1608">
                <c:v>6.4371200000000003E-2</c:v>
              </c:pt>
              <c:pt idx="1609">
                <c:v>6.4411200000000002E-2</c:v>
              </c:pt>
              <c:pt idx="1610">
                <c:v>6.44512E-2</c:v>
              </c:pt>
              <c:pt idx="1611">
                <c:v>6.4491199999999999E-2</c:v>
              </c:pt>
              <c:pt idx="1612">
                <c:v>6.4531199999999997E-2</c:v>
              </c:pt>
              <c:pt idx="1613">
                <c:v>6.4571199999999995E-2</c:v>
              </c:pt>
              <c:pt idx="1614">
                <c:v>6.4611199999999994E-2</c:v>
              </c:pt>
              <c:pt idx="1615">
                <c:v>6.4651200000000006E-2</c:v>
              </c:pt>
              <c:pt idx="1616">
                <c:v>6.4691200000000004E-2</c:v>
              </c:pt>
              <c:pt idx="1617">
                <c:v>6.4731200000000003E-2</c:v>
              </c:pt>
              <c:pt idx="1618">
                <c:v>6.4771200000000001E-2</c:v>
              </c:pt>
              <c:pt idx="1619">
                <c:v>6.4811199999999999E-2</c:v>
              </c:pt>
              <c:pt idx="1620">
                <c:v>6.4851199999999998E-2</c:v>
              </c:pt>
              <c:pt idx="1621">
                <c:v>6.4891199999999996E-2</c:v>
              </c:pt>
              <c:pt idx="1622">
                <c:v>6.4931199999999994E-2</c:v>
              </c:pt>
              <c:pt idx="1623">
                <c:v>6.4971200000000007E-2</c:v>
              </c:pt>
              <c:pt idx="1624">
                <c:v>6.5011200000000005E-2</c:v>
              </c:pt>
              <c:pt idx="1625">
                <c:v>6.5051200000000003E-2</c:v>
              </c:pt>
              <c:pt idx="1626">
                <c:v>6.5091200000000002E-2</c:v>
              </c:pt>
              <c:pt idx="1627">
                <c:v>6.51312E-2</c:v>
              </c:pt>
              <c:pt idx="1628">
                <c:v>6.5171199999999999E-2</c:v>
              </c:pt>
              <c:pt idx="1629">
                <c:v>6.5211199999999997E-2</c:v>
              </c:pt>
              <c:pt idx="1630">
                <c:v>6.5251299999999998E-2</c:v>
              </c:pt>
              <c:pt idx="1631">
                <c:v>6.5291299999999997E-2</c:v>
              </c:pt>
              <c:pt idx="1632">
                <c:v>6.5331299999999995E-2</c:v>
              </c:pt>
              <c:pt idx="1633">
                <c:v>6.5371299999999993E-2</c:v>
              </c:pt>
              <c:pt idx="1634">
                <c:v>6.5411300000000006E-2</c:v>
              </c:pt>
              <c:pt idx="1635">
                <c:v>6.5451300000000004E-2</c:v>
              </c:pt>
              <c:pt idx="1636">
                <c:v>6.5491300000000002E-2</c:v>
              </c:pt>
              <c:pt idx="1637">
                <c:v>6.5531300000000001E-2</c:v>
              </c:pt>
              <c:pt idx="1638">
                <c:v>6.5571299999999999E-2</c:v>
              </c:pt>
              <c:pt idx="1639">
                <c:v>6.5611299999999997E-2</c:v>
              </c:pt>
              <c:pt idx="1640">
                <c:v>6.5651299999999996E-2</c:v>
              </c:pt>
              <c:pt idx="1641">
                <c:v>6.5691299999999994E-2</c:v>
              </c:pt>
              <c:pt idx="1642">
                <c:v>6.5731300000000006E-2</c:v>
              </c:pt>
              <c:pt idx="1643">
                <c:v>6.5771300000000005E-2</c:v>
              </c:pt>
              <c:pt idx="1644">
                <c:v>6.5811300000000003E-2</c:v>
              </c:pt>
              <c:pt idx="1645">
                <c:v>6.5851300000000001E-2</c:v>
              </c:pt>
              <c:pt idx="1646">
                <c:v>6.58913E-2</c:v>
              </c:pt>
              <c:pt idx="1647">
                <c:v>6.5931299999999998E-2</c:v>
              </c:pt>
              <c:pt idx="1648">
                <c:v>6.5971299999999997E-2</c:v>
              </c:pt>
              <c:pt idx="1649">
                <c:v>6.6011299999999995E-2</c:v>
              </c:pt>
              <c:pt idx="1650">
                <c:v>6.6051299999999993E-2</c:v>
              </c:pt>
              <c:pt idx="1651">
                <c:v>6.6091300000000006E-2</c:v>
              </c:pt>
              <c:pt idx="1652">
                <c:v>6.6131300000000004E-2</c:v>
              </c:pt>
              <c:pt idx="1653">
                <c:v>6.6171300000000002E-2</c:v>
              </c:pt>
              <c:pt idx="1654">
                <c:v>6.6211300000000001E-2</c:v>
              </c:pt>
              <c:pt idx="1655">
                <c:v>6.6251299999999999E-2</c:v>
              </c:pt>
              <c:pt idx="1656">
                <c:v>6.6291299999999997E-2</c:v>
              </c:pt>
              <c:pt idx="1657">
                <c:v>6.6331299999999996E-2</c:v>
              </c:pt>
              <c:pt idx="1658">
                <c:v>6.6371299999999994E-2</c:v>
              </c:pt>
              <c:pt idx="1659">
                <c:v>6.6411300000000006E-2</c:v>
              </c:pt>
              <c:pt idx="1660">
                <c:v>6.6451300000000005E-2</c:v>
              </c:pt>
              <c:pt idx="1661">
                <c:v>6.6491300000000003E-2</c:v>
              </c:pt>
              <c:pt idx="1662">
                <c:v>6.6531300000000002E-2</c:v>
              </c:pt>
              <c:pt idx="1663">
                <c:v>6.65713E-2</c:v>
              </c:pt>
              <c:pt idx="1664">
                <c:v>6.6611299999999998E-2</c:v>
              </c:pt>
              <c:pt idx="1665">
                <c:v>6.6651299999999997E-2</c:v>
              </c:pt>
              <c:pt idx="1666">
                <c:v>6.6691299999999995E-2</c:v>
              </c:pt>
              <c:pt idx="1667">
                <c:v>6.6731299999999993E-2</c:v>
              </c:pt>
              <c:pt idx="1668">
                <c:v>6.6771300000000006E-2</c:v>
              </c:pt>
              <c:pt idx="1669">
                <c:v>6.6811300000000004E-2</c:v>
              </c:pt>
              <c:pt idx="1670">
                <c:v>6.6851300000000002E-2</c:v>
              </c:pt>
              <c:pt idx="1671">
                <c:v>6.6891300000000001E-2</c:v>
              </c:pt>
              <c:pt idx="1672">
                <c:v>6.6931299999999999E-2</c:v>
              </c:pt>
              <c:pt idx="1673">
                <c:v>6.6971299999999997E-2</c:v>
              </c:pt>
              <c:pt idx="1674">
                <c:v>6.7011299999999996E-2</c:v>
              </c:pt>
              <c:pt idx="1675">
                <c:v>6.7051299999999994E-2</c:v>
              </c:pt>
              <c:pt idx="1676">
                <c:v>6.7091300000000006E-2</c:v>
              </c:pt>
              <c:pt idx="1677">
                <c:v>6.7131300000000005E-2</c:v>
              </c:pt>
              <c:pt idx="1678">
                <c:v>6.7171300000000003E-2</c:v>
              </c:pt>
              <c:pt idx="1679">
                <c:v>6.7211300000000002E-2</c:v>
              </c:pt>
              <c:pt idx="1680">
                <c:v>6.72513E-2</c:v>
              </c:pt>
              <c:pt idx="1681">
                <c:v>6.7291299999999998E-2</c:v>
              </c:pt>
              <c:pt idx="1682">
                <c:v>6.7331299999999997E-2</c:v>
              </c:pt>
              <c:pt idx="1683">
                <c:v>6.7371299999999995E-2</c:v>
              </c:pt>
              <c:pt idx="1684">
                <c:v>6.7411299999999993E-2</c:v>
              </c:pt>
              <c:pt idx="1685">
                <c:v>6.7451300000000006E-2</c:v>
              </c:pt>
              <c:pt idx="1686">
                <c:v>6.7491300000000004E-2</c:v>
              </c:pt>
              <c:pt idx="1687">
                <c:v>6.7531300000000002E-2</c:v>
              </c:pt>
              <c:pt idx="1688">
                <c:v>6.7571300000000001E-2</c:v>
              </c:pt>
              <c:pt idx="1689">
                <c:v>6.7611299999999999E-2</c:v>
              </c:pt>
              <c:pt idx="1690">
                <c:v>6.7651299999999998E-2</c:v>
              </c:pt>
              <c:pt idx="1691">
                <c:v>6.7691299999999996E-2</c:v>
              </c:pt>
              <c:pt idx="1692">
                <c:v>6.7731299999999994E-2</c:v>
              </c:pt>
              <c:pt idx="1693">
                <c:v>6.7771300000000007E-2</c:v>
              </c:pt>
              <c:pt idx="1694">
                <c:v>6.7811300000000005E-2</c:v>
              </c:pt>
              <c:pt idx="1695">
                <c:v>6.7851300000000003E-2</c:v>
              </c:pt>
              <c:pt idx="1696">
                <c:v>6.7891300000000002E-2</c:v>
              </c:pt>
              <c:pt idx="1697">
                <c:v>6.79313E-2</c:v>
              </c:pt>
              <c:pt idx="1698">
                <c:v>6.7971299999999998E-2</c:v>
              </c:pt>
              <c:pt idx="1699">
                <c:v>6.8011299999999997E-2</c:v>
              </c:pt>
              <c:pt idx="1700">
                <c:v>6.8051299999999995E-2</c:v>
              </c:pt>
              <c:pt idx="1701">
                <c:v>6.8091299999999993E-2</c:v>
              </c:pt>
              <c:pt idx="1702">
                <c:v>6.8131300000000006E-2</c:v>
              </c:pt>
              <c:pt idx="1703">
                <c:v>6.8171300000000004E-2</c:v>
              </c:pt>
              <c:pt idx="1704">
                <c:v>6.8211300000000002E-2</c:v>
              </c:pt>
              <c:pt idx="1705">
                <c:v>6.8251300000000001E-2</c:v>
              </c:pt>
              <c:pt idx="1706">
                <c:v>6.8291299999999999E-2</c:v>
              </c:pt>
              <c:pt idx="1707">
                <c:v>6.8331299999999998E-2</c:v>
              </c:pt>
              <c:pt idx="1708">
                <c:v>6.8371299999999996E-2</c:v>
              </c:pt>
              <c:pt idx="1709">
                <c:v>6.8411299999999994E-2</c:v>
              </c:pt>
              <c:pt idx="1710">
                <c:v>6.8451300000000007E-2</c:v>
              </c:pt>
              <c:pt idx="1711">
                <c:v>6.8491300000000005E-2</c:v>
              </c:pt>
              <c:pt idx="1712">
                <c:v>6.8531300000000003E-2</c:v>
              </c:pt>
              <c:pt idx="1713">
                <c:v>6.8571300000000002E-2</c:v>
              </c:pt>
              <c:pt idx="1714">
                <c:v>6.86113E-2</c:v>
              </c:pt>
              <c:pt idx="1715">
                <c:v>6.8651299999999998E-2</c:v>
              </c:pt>
              <c:pt idx="1716">
                <c:v>6.8691299999999997E-2</c:v>
              </c:pt>
              <c:pt idx="1717">
                <c:v>6.8731299999999995E-2</c:v>
              </c:pt>
              <c:pt idx="1718">
                <c:v>6.8771299999999994E-2</c:v>
              </c:pt>
              <c:pt idx="1719">
                <c:v>6.8811300000000006E-2</c:v>
              </c:pt>
              <c:pt idx="1720">
                <c:v>6.8851300000000004E-2</c:v>
              </c:pt>
              <c:pt idx="1721">
                <c:v>6.8891300000000003E-2</c:v>
              </c:pt>
              <c:pt idx="1722">
                <c:v>6.8931300000000001E-2</c:v>
              </c:pt>
              <c:pt idx="1723">
                <c:v>6.8971299999999999E-2</c:v>
              </c:pt>
              <c:pt idx="1724">
                <c:v>6.9011299999999998E-2</c:v>
              </c:pt>
              <c:pt idx="1725">
                <c:v>6.9051299999999996E-2</c:v>
              </c:pt>
              <c:pt idx="1726">
                <c:v>6.9091299999999994E-2</c:v>
              </c:pt>
              <c:pt idx="1727">
                <c:v>6.9131300000000007E-2</c:v>
              </c:pt>
              <c:pt idx="1728">
                <c:v>6.9171300000000005E-2</c:v>
              </c:pt>
              <c:pt idx="1729">
                <c:v>6.9211300000000003E-2</c:v>
              </c:pt>
              <c:pt idx="1730">
                <c:v>6.9251300000000002E-2</c:v>
              </c:pt>
              <c:pt idx="1731">
                <c:v>6.92913E-2</c:v>
              </c:pt>
              <c:pt idx="1732">
                <c:v>6.9331299999999998E-2</c:v>
              </c:pt>
              <c:pt idx="1733">
                <c:v>6.9371299999999997E-2</c:v>
              </c:pt>
              <c:pt idx="1734">
                <c:v>6.9411299999999995E-2</c:v>
              </c:pt>
              <c:pt idx="1735">
                <c:v>6.9451299999999994E-2</c:v>
              </c:pt>
              <c:pt idx="1736">
                <c:v>6.9491300000000006E-2</c:v>
              </c:pt>
              <c:pt idx="1737">
                <c:v>6.9531300000000004E-2</c:v>
              </c:pt>
              <c:pt idx="1738">
                <c:v>6.95712E-2</c:v>
              </c:pt>
              <c:pt idx="1739">
                <c:v>6.9611199999999998E-2</c:v>
              </c:pt>
              <c:pt idx="1740">
                <c:v>6.9651199999999996E-2</c:v>
              </c:pt>
              <c:pt idx="1741">
                <c:v>6.9691199999999995E-2</c:v>
              </c:pt>
              <c:pt idx="1742">
                <c:v>6.9731199999999993E-2</c:v>
              </c:pt>
              <c:pt idx="1743">
                <c:v>6.9771200000000005E-2</c:v>
              </c:pt>
              <c:pt idx="1744">
                <c:v>6.9811200000000004E-2</c:v>
              </c:pt>
              <c:pt idx="1745">
                <c:v>6.9851200000000002E-2</c:v>
              </c:pt>
              <c:pt idx="1746">
                <c:v>6.9891200000000001E-2</c:v>
              </c:pt>
              <c:pt idx="1747">
                <c:v>6.9931199999999999E-2</c:v>
              </c:pt>
              <c:pt idx="1748">
                <c:v>6.9971199999999997E-2</c:v>
              </c:pt>
              <c:pt idx="1749">
                <c:v>7.0011199999999996E-2</c:v>
              </c:pt>
              <c:pt idx="1750">
                <c:v>7.0051199999999994E-2</c:v>
              </c:pt>
              <c:pt idx="1751">
                <c:v>7.0091200000000006E-2</c:v>
              </c:pt>
              <c:pt idx="1752">
                <c:v>7.0131200000000005E-2</c:v>
              </c:pt>
              <c:pt idx="1753">
                <c:v>7.0171200000000003E-2</c:v>
              </c:pt>
              <c:pt idx="1754">
                <c:v>7.0211200000000001E-2</c:v>
              </c:pt>
              <c:pt idx="1755">
                <c:v>7.02512E-2</c:v>
              </c:pt>
              <c:pt idx="1756">
                <c:v>7.0291199999999998E-2</c:v>
              </c:pt>
              <c:pt idx="1757">
                <c:v>7.0331199999999996E-2</c:v>
              </c:pt>
              <c:pt idx="1758">
                <c:v>7.0371199999999995E-2</c:v>
              </c:pt>
              <c:pt idx="1759">
                <c:v>7.0411199999999993E-2</c:v>
              </c:pt>
              <c:pt idx="1760">
                <c:v>7.0451200000000005E-2</c:v>
              </c:pt>
              <c:pt idx="1761">
                <c:v>7.0491200000000004E-2</c:v>
              </c:pt>
              <c:pt idx="1762">
                <c:v>7.0531200000000002E-2</c:v>
              </c:pt>
              <c:pt idx="1763">
                <c:v>7.0571200000000001E-2</c:v>
              </c:pt>
              <c:pt idx="1764">
                <c:v>7.0611199999999999E-2</c:v>
              </c:pt>
              <c:pt idx="1765">
                <c:v>7.0651199999999997E-2</c:v>
              </c:pt>
              <c:pt idx="1766">
                <c:v>7.0691199999999996E-2</c:v>
              </c:pt>
              <c:pt idx="1767">
                <c:v>7.0731199999999994E-2</c:v>
              </c:pt>
              <c:pt idx="1768">
                <c:v>7.0771200000000006E-2</c:v>
              </c:pt>
              <c:pt idx="1769">
                <c:v>7.0811200000000005E-2</c:v>
              </c:pt>
              <c:pt idx="1770">
                <c:v>7.0851200000000003E-2</c:v>
              </c:pt>
              <c:pt idx="1771">
                <c:v>7.0891200000000001E-2</c:v>
              </c:pt>
              <c:pt idx="1772">
                <c:v>7.0931099999999997E-2</c:v>
              </c:pt>
              <c:pt idx="1773">
                <c:v>7.0971099999999995E-2</c:v>
              </c:pt>
              <c:pt idx="1774">
                <c:v>7.1011099999999994E-2</c:v>
              </c:pt>
              <c:pt idx="1775">
                <c:v>7.1051100000000006E-2</c:v>
              </c:pt>
              <c:pt idx="1776">
                <c:v>7.1091100000000004E-2</c:v>
              </c:pt>
              <c:pt idx="1777">
                <c:v>7.1131100000000003E-2</c:v>
              </c:pt>
              <c:pt idx="1778">
                <c:v>7.1171100000000001E-2</c:v>
              </c:pt>
              <c:pt idx="1779">
                <c:v>7.1211099999999999E-2</c:v>
              </c:pt>
              <c:pt idx="1780">
                <c:v>7.1251099999999998E-2</c:v>
              </c:pt>
              <c:pt idx="1781">
                <c:v>7.1291099999999996E-2</c:v>
              </c:pt>
              <c:pt idx="1782">
                <c:v>7.1331099999999995E-2</c:v>
              </c:pt>
              <c:pt idx="1783">
                <c:v>7.1371100000000007E-2</c:v>
              </c:pt>
              <c:pt idx="1784">
                <c:v>7.1411100000000005E-2</c:v>
              </c:pt>
              <c:pt idx="1785">
                <c:v>7.1451100000000003E-2</c:v>
              </c:pt>
              <c:pt idx="1786">
                <c:v>7.1491100000000002E-2</c:v>
              </c:pt>
              <c:pt idx="1787">
                <c:v>7.15311E-2</c:v>
              </c:pt>
              <c:pt idx="1788">
                <c:v>7.1571099999999999E-2</c:v>
              </c:pt>
              <c:pt idx="1789">
                <c:v>7.1611099999999997E-2</c:v>
              </c:pt>
              <c:pt idx="1790">
                <c:v>7.1651099999999995E-2</c:v>
              </c:pt>
              <c:pt idx="1791">
                <c:v>7.1691099999999994E-2</c:v>
              </c:pt>
              <c:pt idx="1792">
                <c:v>7.1731100000000006E-2</c:v>
              </c:pt>
              <c:pt idx="1793">
                <c:v>7.1771100000000004E-2</c:v>
              </c:pt>
              <c:pt idx="1794">
                <c:v>7.1811100000000003E-2</c:v>
              </c:pt>
              <c:pt idx="1795">
                <c:v>7.1851100000000001E-2</c:v>
              </c:pt>
              <c:pt idx="1796">
                <c:v>7.1891099999999999E-2</c:v>
              </c:pt>
              <c:pt idx="1797">
                <c:v>7.1931099999999998E-2</c:v>
              </c:pt>
              <c:pt idx="1798">
                <c:v>7.1971099999999996E-2</c:v>
              </c:pt>
              <c:pt idx="1799">
                <c:v>7.2011099999999995E-2</c:v>
              </c:pt>
              <c:pt idx="1800">
                <c:v>7.2051100000000007E-2</c:v>
              </c:pt>
              <c:pt idx="1801">
                <c:v>7.2091100000000005E-2</c:v>
              </c:pt>
              <c:pt idx="1802">
                <c:v>7.2131100000000004E-2</c:v>
              </c:pt>
              <c:pt idx="1803">
                <c:v>7.2171100000000002E-2</c:v>
              </c:pt>
              <c:pt idx="1804">
                <c:v>7.22111E-2</c:v>
              </c:pt>
              <c:pt idx="1805">
                <c:v>7.2251099999999999E-2</c:v>
              </c:pt>
              <c:pt idx="1806">
                <c:v>7.2290999999999994E-2</c:v>
              </c:pt>
              <c:pt idx="1807">
                <c:v>7.2331000000000006E-2</c:v>
              </c:pt>
              <c:pt idx="1808">
                <c:v>7.2371000000000005E-2</c:v>
              </c:pt>
              <c:pt idx="1809">
                <c:v>7.2411000000000003E-2</c:v>
              </c:pt>
              <c:pt idx="1810">
                <c:v>7.2451000000000002E-2</c:v>
              </c:pt>
              <c:pt idx="1811">
                <c:v>7.2491E-2</c:v>
              </c:pt>
              <c:pt idx="1812">
                <c:v>7.2530999999999998E-2</c:v>
              </c:pt>
              <c:pt idx="1813">
                <c:v>7.2570999999999997E-2</c:v>
              </c:pt>
              <c:pt idx="1814">
                <c:v>7.2610999999999995E-2</c:v>
              </c:pt>
              <c:pt idx="1815">
                <c:v>7.2650999999999993E-2</c:v>
              </c:pt>
              <c:pt idx="1816">
                <c:v>7.2691000000000006E-2</c:v>
              </c:pt>
              <c:pt idx="1817">
                <c:v>7.2731000000000004E-2</c:v>
              </c:pt>
              <c:pt idx="1818">
                <c:v>7.2771000000000002E-2</c:v>
              </c:pt>
              <c:pt idx="1819">
                <c:v>7.2811000000000001E-2</c:v>
              </c:pt>
              <c:pt idx="1820">
                <c:v>7.2850999999999999E-2</c:v>
              </c:pt>
              <c:pt idx="1821">
                <c:v>7.2890999999999997E-2</c:v>
              </c:pt>
              <c:pt idx="1822">
                <c:v>7.2930999999999996E-2</c:v>
              </c:pt>
              <c:pt idx="1823">
                <c:v>7.2970999999999994E-2</c:v>
              </c:pt>
              <c:pt idx="1824">
                <c:v>7.3011000000000006E-2</c:v>
              </c:pt>
              <c:pt idx="1825">
                <c:v>7.3051000000000005E-2</c:v>
              </c:pt>
              <c:pt idx="1826">
                <c:v>7.3091000000000003E-2</c:v>
              </c:pt>
              <c:pt idx="1827">
                <c:v>7.3131000000000002E-2</c:v>
              </c:pt>
              <c:pt idx="1828">
                <c:v>7.3171E-2</c:v>
              </c:pt>
              <c:pt idx="1829">
                <c:v>7.3210999999999998E-2</c:v>
              </c:pt>
              <c:pt idx="1830">
                <c:v>7.3250999999999997E-2</c:v>
              </c:pt>
              <c:pt idx="1831">
                <c:v>7.3290999999999995E-2</c:v>
              </c:pt>
              <c:pt idx="1832">
                <c:v>7.3330999999999993E-2</c:v>
              </c:pt>
              <c:pt idx="1833">
                <c:v>7.3371000000000006E-2</c:v>
              </c:pt>
              <c:pt idx="1834">
                <c:v>7.3411000000000004E-2</c:v>
              </c:pt>
              <c:pt idx="1835">
                <c:v>7.3451000000000002E-2</c:v>
              </c:pt>
              <c:pt idx="1836">
                <c:v>7.3491000000000001E-2</c:v>
              </c:pt>
              <c:pt idx="1837">
                <c:v>7.3530999999999999E-2</c:v>
              </c:pt>
              <c:pt idx="1838">
                <c:v>7.3570999999999998E-2</c:v>
              </c:pt>
              <c:pt idx="1839">
                <c:v>7.3610999999999996E-2</c:v>
              </c:pt>
              <c:pt idx="1840">
                <c:v>7.3650900000000005E-2</c:v>
              </c:pt>
              <c:pt idx="1841">
                <c:v>7.3690900000000004E-2</c:v>
              </c:pt>
              <c:pt idx="1842">
                <c:v>7.3730900000000002E-2</c:v>
              </c:pt>
              <c:pt idx="1843">
                <c:v>7.37709E-2</c:v>
              </c:pt>
              <c:pt idx="1844">
                <c:v>7.3810899999999999E-2</c:v>
              </c:pt>
              <c:pt idx="1845">
                <c:v>7.3850899999999997E-2</c:v>
              </c:pt>
              <c:pt idx="1846">
                <c:v>7.3890899999999995E-2</c:v>
              </c:pt>
              <c:pt idx="1847">
                <c:v>7.3930899999999994E-2</c:v>
              </c:pt>
              <c:pt idx="1848">
                <c:v>7.3970900000000006E-2</c:v>
              </c:pt>
              <c:pt idx="1849">
                <c:v>7.4010900000000004E-2</c:v>
              </c:pt>
              <c:pt idx="1850">
                <c:v>7.4050900000000003E-2</c:v>
              </c:pt>
              <c:pt idx="1851">
                <c:v>7.4090900000000001E-2</c:v>
              </c:pt>
              <c:pt idx="1852">
                <c:v>7.41309E-2</c:v>
              </c:pt>
              <c:pt idx="1853">
                <c:v>7.4170899999999998E-2</c:v>
              </c:pt>
              <c:pt idx="1854">
                <c:v>7.4210899999999996E-2</c:v>
              </c:pt>
              <c:pt idx="1855">
                <c:v>7.4250899999999995E-2</c:v>
              </c:pt>
              <c:pt idx="1856">
                <c:v>7.4290900000000007E-2</c:v>
              </c:pt>
              <c:pt idx="1857">
                <c:v>7.4330900000000005E-2</c:v>
              </c:pt>
              <c:pt idx="1858">
                <c:v>7.4370900000000004E-2</c:v>
              </c:pt>
              <c:pt idx="1859">
                <c:v>7.4410900000000002E-2</c:v>
              </c:pt>
              <c:pt idx="1860">
                <c:v>7.44509E-2</c:v>
              </c:pt>
              <c:pt idx="1861">
                <c:v>7.4490899999999999E-2</c:v>
              </c:pt>
              <c:pt idx="1862">
                <c:v>7.4530899999999997E-2</c:v>
              </c:pt>
              <c:pt idx="1863">
                <c:v>7.4570899999999996E-2</c:v>
              </c:pt>
              <c:pt idx="1864">
                <c:v>7.4610800000000005E-2</c:v>
              </c:pt>
              <c:pt idx="1865">
                <c:v>7.4650800000000003E-2</c:v>
              </c:pt>
              <c:pt idx="1866">
                <c:v>7.4690800000000002E-2</c:v>
              </c:pt>
              <c:pt idx="1867">
                <c:v>7.47308E-2</c:v>
              </c:pt>
              <c:pt idx="1868">
                <c:v>7.4770799999999998E-2</c:v>
              </c:pt>
              <c:pt idx="1869">
                <c:v>7.4810799999999997E-2</c:v>
              </c:pt>
              <c:pt idx="1870">
                <c:v>7.4850799999999995E-2</c:v>
              </c:pt>
              <c:pt idx="1871">
                <c:v>7.4890799999999993E-2</c:v>
              </c:pt>
              <c:pt idx="1872">
                <c:v>7.4930800000000006E-2</c:v>
              </c:pt>
              <c:pt idx="1873">
                <c:v>7.4970800000000004E-2</c:v>
              </c:pt>
              <c:pt idx="1874">
                <c:v>7.5010800000000002E-2</c:v>
              </c:pt>
              <c:pt idx="1875">
                <c:v>7.5050800000000001E-2</c:v>
              </c:pt>
              <c:pt idx="1876">
                <c:v>7.5090799999999999E-2</c:v>
              </c:pt>
              <c:pt idx="1877">
                <c:v>7.5130799999999998E-2</c:v>
              </c:pt>
              <c:pt idx="1878">
                <c:v>7.5170699999999993E-2</c:v>
              </c:pt>
              <c:pt idx="1879">
                <c:v>7.5210700000000005E-2</c:v>
              </c:pt>
              <c:pt idx="1880">
                <c:v>7.5250700000000004E-2</c:v>
              </c:pt>
              <c:pt idx="1881">
                <c:v>7.5290700000000002E-2</c:v>
              </c:pt>
              <c:pt idx="1882">
                <c:v>7.53307E-2</c:v>
              </c:pt>
              <c:pt idx="1883">
                <c:v>7.5370699999999999E-2</c:v>
              </c:pt>
              <c:pt idx="1884">
                <c:v>7.5410699999999997E-2</c:v>
              </c:pt>
              <c:pt idx="1885">
                <c:v>7.5450699999999996E-2</c:v>
              </c:pt>
              <c:pt idx="1886">
                <c:v>7.5490699999999994E-2</c:v>
              </c:pt>
              <c:pt idx="1887">
                <c:v>7.5530700000000006E-2</c:v>
              </c:pt>
              <c:pt idx="1888">
                <c:v>7.5570700000000005E-2</c:v>
              </c:pt>
              <c:pt idx="1889">
                <c:v>7.5610700000000003E-2</c:v>
              </c:pt>
              <c:pt idx="1890">
                <c:v>7.5650700000000001E-2</c:v>
              </c:pt>
              <c:pt idx="1891">
                <c:v>7.56907E-2</c:v>
              </c:pt>
              <c:pt idx="1892">
                <c:v>7.5730699999999998E-2</c:v>
              </c:pt>
              <c:pt idx="1893">
                <c:v>7.5770599999999994E-2</c:v>
              </c:pt>
              <c:pt idx="1894">
                <c:v>7.5810600000000006E-2</c:v>
              </c:pt>
              <c:pt idx="1895">
                <c:v>7.5850600000000004E-2</c:v>
              </c:pt>
              <c:pt idx="1896">
                <c:v>7.5890600000000003E-2</c:v>
              </c:pt>
              <c:pt idx="1897">
                <c:v>7.5930600000000001E-2</c:v>
              </c:pt>
              <c:pt idx="1898">
                <c:v>7.5970599999999999E-2</c:v>
              </c:pt>
              <c:pt idx="1899">
                <c:v>7.6010599999999998E-2</c:v>
              </c:pt>
              <c:pt idx="1900">
                <c:v>7.6050599999999996E-2</c:v>
              </c:pt>
              <c:pt idx="1901">
                <c:v>7.6090599999999994E-2</c:v>
              </c:pt>
              <c:pt idx="1902">
                <c:v>7.6130600000000007E-2</c:v>
              </c:pt>
              <c:pt idx="1903">
                <c:v>7.6170600000000005E-2</c:v>
              </c:pt>
              <c:pt idx="1904">
                <c:v>7.6210600000000003E-2</c:v>
              </c:pt>
              <c:pt idx="1905">
                <c:v>7.6250600000000002E-2</c:v>
              </c:pt>
              <c:pt idx="1906">
                <c:v>7.62906E-2</c:v>
              </c:pt>
              <c:pt idx="1907">
                <c:v>7.6330499999999996E-2</c:v>
              </c:pt>
              <c:pt idx="1908">
                <c:v>7.6370499999999994E-2</c:v>
              </c:pt>
              <c:pt idx="1909">
                <c:v>7.6410500000000006E-2</c:v>
              </c:pt>
              <c:pt idx="1910">
                <c:v>7.6450500000000005E-2</c:v>
              </c:pt>
              <c:pt idx="1911">
                <c:v>7.6490500000000003E-2</c:v>
              </c:pt>
              <c:pt idx="1912">
                <c:v>7.6530500000000001E-2</c:v>
              </c:pt>
              <c:pt idx="1913">
                <c:v>7.65705E-2</c:v>
              </c:pt>
              <c:pt idx="1914">
                <c:v>7.6610499999999998E-2</c:v>
              </c:pt>
              <c:pt idx="1915">
                <c:v>7.6650499999999996E-2</c:v>
              </c:pt>
              <c:pt idx="1916">
                <c:v>7.6690499999999995E-2</c:v>
              </c:pt>
              <c:pt idx="1917">
                <c:v>7.6730499999999993E-2</c:v>
              </c:pt>
              <c:pt idx="1918">
                <c:v>7.6770500000000005E-2</c:v>
              </c:pt>
              <c:pt idx="1919">
                <c:v>7.6810500000000004E-2</c:v>
              </c:pt>
              <c:pt idx="1920">
                <c:v>7.6850500000000002E-2</c:v>
              </c:pt>
              <c:pt idx="1921">
                <c:v>7.6890399999999998E-2</c:v>
              </c:pt>
              <c:pt idx="1922">
                <c:v>7.6930399999999996E-2</c:v>
              </c:pt>
              <c:pt idx="1923">
                <c:v>7.6970399999999994E-2</c:v>
              </c:pt>
              <c:pt idx="1924">
                <c:v>7.7010400000000007E-2</c:v>
              </c:pt>
              <c:pt idx="1925">
                <c:v>7.7050400000000005E-2</c:v>
              </c:pt>
              <c:pt idx="1926">
                <c:v>7.7090400000000003E-2</c:v>
              </c:pt>
              <c:pt idx="1927">
                <c:v>7.7130400000000002E-2</c:v>
              </c:pt>
              <c:pt idx="1928">
                <c:v>7.71704E-2</c:v>
              </c:pt>
              <c:pt idx="1929">
                <c:v>7.7210399999999998E-2</c:v>
              </c:pt>
              <c:pt idx="1930">
                <c:v>7.7250399999999997E-2</c:v>
              </c:pt>
              <c:pt idx="1931">
                <c:v>7.7290399999999995E-2</c:v>
              </c:pt>
              <c:pt idx="1932">
                <c:v>7.7330399999999994E-2</c:v>
              </c:pt>
              <c:pt idx="1933">
                <c:v>7.7370400000000006E-2</c:v>
              </c:pt>
              <c:pt idx="1934">
                <c:v>7.7410400000000004E-2</c:v>
              </c:pt>
              <c:pt idx="1935">
                <c:v>7.74503E-2</c:v>
              </c:pt>
              <c:pt idx="1936">
                <c:v>7.7490299999999998E-2</c:v>
              </c:pt>
              <c:pt idx="1937">
                <c:v>7.7530299999999996E-2</c:v>
              </c:pt>
              <c:pt idx="1938">
                <c:v>7.7570299999999995E-2</c:v>
              </c:pt>
              <c:pt idx="1939">
                <c:v>7.7610299999999993E-2</c:v>
              </c:pt>
              <c:pt idx="1940">
                <c:v>7.7650300000000005E-2</c:v>
              </c:pt>
              <c:pt idx="1941">
                <c:v>7.7690300000000004E-2</c:v>
              </c:pt>
              <c:pt idx="1942">
                <c:v>7.7730300000000002E-2</c:v>
              </c:pt>
              <c:pt idx="1943">
                <c:v>7.7770300000000001E-2</c:v>
              </c:pt>
              <c:pt idx="1944">
                <c:v>7.7810299999999999E-2</c:v>
              </c:pt>
              <c:pt idx="1945">
                <c:v>7.7850299999999997E-2</c:v>
              </c:pt>
              <c:pt idx="1946">
                <c:v>7.7890299999999996E-2</c:v>
              </c:pt>
              <c:pt idx="1947">
                <c:v>7.7930299999999994E-2</c:v>
              </c:pt>
              <c:pt idx="1948">
                <c:v>7.7970300000000006E-2</c:v>
              </c:pt>
              <c:pt idx="1949">
                <c:v>7.8010300000000005E-2</c:v>
              </c:pt>
              <c:pt idx="1950">
                <c:v>7.80502E-2</c:v>
              </c:pt>
              <c:pt idx="1951">
                <c:v>7.8090199999999999E-2</c:v>
              </c:pt>
              <c:pt idx="1952">
                <c:v>7.8130199999999997E-2</c:v>
              </c:pt>
              <c:pt idx="1953">
                <c:v>7.8170199999999995E-2</c:v>
              </c:pt>
              <c:pt idx="1954">
                <c:v>7.8210199999999994E-2</c:v>
              </c:pt>
              <c:pt idx="1955">
                <c:v>7.8250200000000006E-2</c:v>
              </c:pt>
              <c:pt idx="1956">
                <c:v>7.8290200000000004E-2</c:v>
              </c:pt>
              <c:pt idx="1957">
                <c:v>7.8330200000000003E-2</c:v>
              </c:pt>
              <c:pt idx="1958">
                <c:v>7.8370200000000001E-2</c:v>
              </c:pt>
              <c:pt idx="1959">
                <c:v>7.8410199999999999E-2</c:v>
              </c:pt>
              <c:pt idx="1960">
                <c:v>7.8450199999999998E-2</c:v>
              </c:pt>
              <c:pt idx="1961">
                <c:v>7.8490199999999996E-2</c:v>
              </c:pt>
              <c:pt idx="1962">
                <c:v>7.8530199999999994E-2</c:v>
              </c:pt>
              <c:pt idx="1963">
                <c:v>7.8570200000000007E-2</c:v>
              </c:pt>
              <c:pt idx="1964">
                <c:v>7.8610100000000002E-2</c:v>
              </c:pt>
              <c:pt idx="1965">
                <c:v>7.8650100000000001E-2</c:v>
              </c:pt>
              <c:pt idx="1966">
                <c:v>7.8690099999999999E-2</c:v>
              </c:pt>
              <c:pt idx="1967">
                <c:v>7.8730099999999997E-2</c:v>
              </c:pt>
              <c:pt idx="1968">
                <c:v>7.8770099999999996E-2</c:v>
              </c:pt>
              <c:pt idx="1969">
                <c:v>7.8810099999999994E-2</c:v>
              </c:pt>
              <c:pt idx="1970">
                <c:v>7.8850100000000006E-2</c:v>
              </c:pt>
              <c:pt idx="1971">
                <c:v>7.8890100000000005E-2</c:v>
              </c:pt>
              <c:pt idx="1972">
                <c:v>7.8930100000000003E-2</c:v>
              </c:pt>
              <c:pt idx="1973">
                <c:v>7.8970100000000001E-2</c:v>
              </c:pt>
              <c:pt idx="1974">
                <c:v>7.90101E-2</c:v>
              </c:pt>
              <c:pt idx="1975">
                <c:v>7.9050099999999998E-2</c:v>
              </c:pt>
              <c:pt idx="1976">
                <c:v>7.9090099999999997E-2</c:v>
              </c:pt>
              <c:pt idx="1977">
                <c:v>7.9130099999999995E-2</c:v>
              </c:pt>
              <c:pt idx="1978">
                <c:v>7.9170000000000004E-2</c:v>
              </c:pt>
              <c:pt idx="1979">
                <c:v>7.9210000000000003E-2</c:v>
              </c:pt>
              <c:pt idx="1980">
                <c:v>7.9250000000000001E-2</c:v>
              </c:pt>
              <c:pt idx="1981">
                <c:v>7.9289999999999999E-2</c:v>
              </c:pt>
              <c:pt idx="1982">
                <c:v>7.9329999999999998E-2</c:v>
              </c:pt>
              <c:pt idx="1983">
                <c:v>7.9369999999999996E-2</c:v>
              </c:pt>
              <c:pt idx="1984">
                <c:v>7.9409999999999994E-2</c:v>
              </c:pt>
              <c:pt idx="1985">
                <c:v>7.9450000000000007E-2</c:v>
              </c:pt>
              <c:pt idx="1986">
                <c:v>7.9490000000000005E-2</c:v>
              </c:pt>
              <c:pt idx="1987">
                <c:v>7.9530000000000003E-2</c:v>
              </c:pt>
              <c:pt idx="1988">
                <c:v>7.9570000000000002E-2</c:v>
              </c:pt>
              <c:pt idx="1989">
                <c:v>7.961E-2</c:v>
              </c:pt>
              <c:pt idx="1990">
                <c:v>7.9649999999999999E-2</c:v>
              </c:pt>
              <c:pt idx="1991">
                <c:v>7.9689999999999997E-2</c:v>
              </c:pt>
              <c:pt idx="1992">
                <c:v>7.9729900000000006E-2</c:v>
              </c:pt>
              <c:pt idx="1993">
                <c:v>7.9769900000000005E-2</c:v>
              </c:pt>
              <c:pt idx="1994">
                <c:v>7.9809900000000003E-2</c:v>
              </c:pt>
              <c:pt idx="1995">
                <c:v>7.9849900000000001E-2</c:v>
              </c:pt>
              <c:pt idx="1996">
                <c:v>7.98899E-2</c:v>
              </c:pt>
              <c:pt idx="1997">
                <c:v>7.9929899999999998E-2</c:v>
              </c:pt>
              <c:pt idx="1998">
                <c:v>7.9969899999999997E-2</c:v>
              </c:pt>
              <c:pt idx="1999">
                <c:v>8.0009899999999995E-2</c:v>
              </c:pt>
              <c:pt idx="2000">
                <c:v>8.0049899999999993E-2</c:v>
              </c:pt>
              <c:pt idx="2001">
                <c:v>8.0089900000000006E-2</c:v>
              </c:pt>
              <c:pt idx="2002">
                <c:v>8.0129900000000004E-2</c:v>
              </c:pt>
              <c:pt idx="2003">
                <c:v>8.0169900000000002E-2</c:v>
              </c:pt>
              <c:pt idx="2004">
                <c:v>8.0209900000000001E-2</c:v>
              </c:pt>
              <c:pt idx="2005">
                <c:v>8.0249899999999999E-2</c:v>
              </c:pt>
              <c:pt idx="2006">
                <c:v>8.0289799999999995E-2</c:v>
              </c:pt>
              <c:pt idx="2007">
                <c:v>8.0329800000000007E-2</c:v>
              </c:pt>
              <c:pt idx="2008">
                <c:v>8.0369800000000005E-2</c:v>
              </c:pt>
              <c:pt idx="2009">
                <c:v>8.0409800000000003E-2</c:v>
              </c:pt>
              <c:pt idx="2010">
                <c:v>8.0449800000000002E-2</c:v>
              </c:pt>
              <c:pt idx="2011">
                <c:v>8.04898E-2</c:v>
              </c:pt>
              <c:pt idx="2012">
                <c:v>8.0529799999999999E-2</c:v>
              </c:pt>
              <c:pt idx="2013">
                <c:v>8.0569799999999997E-2</c:v>
              </c:pt>
              <c:pt idx="2014">
                <c:v>8.0609799999999995E-2</c:v>
              </c:pt>
              <c:pt idx="2015">
                <c:v>8.0649799999999994E-2</c:v>
              </c:pt>
              <c:pt idx="2016">
                <c:v>8.0689800000000006E-2</c:v>
              </c:pt>
              <c:pt idx="2017">
                <c:v>8.0729800000000004E-2</c:v>
              </c:pt>
              <c:pt idx="2018">
                <c:v>8.0769800000000003E-2</c:v>
              </c:pt>
              <c:pt idx="2019">
                <c:v>8.0809800000000001E-2</c:v>
              </c:pt>
              <c:pt idx="2020">
                <c:v>8.0849799999999999E-2</c:v>
              </c:pt>
              <c:pt idx="2021">
                <c:v>8.0889699999999995E-2</c:v>
              </c:pt>
              <c:pt idx="2022">
                <c:v>8.0929699999999993E-2</c:v>
              </c:pt>
              <c:pt idx="2023">
                <c:v>8.0969700000000006E-2</c:v>
              </c:pt>
              <c:pt idx="2024">
                <c:v>8.1009700000000004E-2</c:v>
              </c:pt>
              <c:pt idx="2025">
                <c:v>8.1049700000000002E-2</c:v>
              </c:pt>
              <c:pt idx="2026">
                <c:v>8.1089700000000001E-2</c:v>
              </c:pt>
              <c:pt idx="2027">
                <c:v>8.1129699999999999E-2</c:v>
              </c:pt>
              <c:pt idx="2028">
                <c:v>8.1169699999999997E-2</c:v>
              </c:pt>
              <c:pt idx="2029">
                <c:v>8.1209699999999996E-2</c:v>
              </c:pt>
              <c:pt idx="2030">
                <c:v>8.1249699999999994E-2</c:v>
              </c:pt>
              <c:pt idx="2031">
                <c:v>8.1289700000000006E-2</c:v>
              </c:pt>
              <c:pt idx="2032">
                <c:v>8.1329700000000005E-2</c:v>
              </c:pt>
              <c:pt idx="2033">
                <c:v>8.1369700000000003E-2</c:v>
              </c:pt>
              <c:pt idx="2034">
                <c:v>8.1409700000000002E-2</c:v>
              </c:pt>
              <c:pt idx="2035">
                <c:v>8.1449599999999997E-2</c:v>
              </c:pt>
              <c:pt idx="2036">
                <c:v>8.1489599999999995E-2</c:v>
              </c:pt>
              <c:pt idx="2037">
                <c:v>8.1529599999999994E-2</c:v>
              </c:pt>
              <c:pt idx="2038">
                <c:v>8.1569600000000006E-2</c:v>
              </c:pt>
              <c:pt idx="2039">
                <c:v>8.1609600000000004E-2</c:v>
              </c:pt>
              <c:pt idx="2040">
                <c:v>8.1649600000000003E-2</c:v>
              </c:pt>
              <c:pt idx="2041">
                <c:v>8.1689600000000001E-2</c:v>
              </c:pt>
              <c:pt idx="2042">
                <c:v>8.1729599999999999E-2</c:v>
              </c:pt>
              <c:pt idx="2043">
                <c:v>8.1769599999999998E-2</c:v>
              </c:pt>
              <c:pt idx="2044">
                <c:v>8.1809599999999996E-2</c:v>
              </c:pt>
              <c:pt idx="2045">
                <c:v>8.1849599999999995E-2</c:v>
              </c:pt>
              <c:pt idx="2046">
                <c:v>8.1889600000000007E-2</c:v>
              </c:pt>
              <c:pt idx="2047">
                <c:v>8.1929600000000005E-2</c:v>
              </c:pt>
              <c:pt idx="2048">
                <c:v>8.1969600000000004E-2</c:v>
              </c:pt>
              <c:pt idx="2049">
                <c:v>8.2009499999999999E-2</c:v>
              </c:pt>
              <c:pt idx="2050">
                <c:v>8.2049499999999997E-2</c:v>
              </c:pt>
              <c:pt idx="2051">
                <c:v>8.2089499999999996E-2</c:v>
              </c:pt>
              <c:pt idx="2052">
                <c:v>8.2129499999999994E-2</c:v>
              </c:pt>
              <c:pt idx="2053">
                <c:v>8.2169500000000006E-2</c:v>
              </c:pt>
              <c:pt idx="2054">
                <c:v>8.2209500000000005E-2</c:v>
              </c:pt>
              <c:pt idx="2055">
                <c:v>8.2249500000000003E-2</c:v>
              </c:pt>
              <c:pt idx="2056">
                <c:v>8.2289500000000002E-2</c:v>
              </c:pt>
              <c:pt idx="2057">
                <c:v>8.23295E-2</c:v>
              </c:pt>
              <c:pt idx="2058">
                <c:v>8.2369499999999998E-2</c:v>
              </c:pt>
              <c:pt idx="2059">
                <c:v>8.2409499999999997E-2</c:v>
              </c:pt>
              <c:pt idx="2060">
                <c:v>8.2449499999999995E-2</c:v>
              </c:pt>
              <c:pt idx="2061">
                <c:v>8.2489499999999993E-2</c:v>
              </c:pt>
              <c:pt idx="2062">
                <c:v>8.2529500000000006E-2</c:v>
              </c:pt>
              <c:pt idx="2063">
                <c:v>8.2569400000000001E-2</c:v>
              </c:pt>
              <c:pt idx="2064">
                <c:v>8.2609399999999999E-2</c:v>
              </c:pt>
              <c:pt idx="2065">
                <c:v>8.2649399999999998E-2</c:v>
              </c:pt>
              <c:pt idx="2066">
                <c:v>8.2689399999999996E-2</c:v>
              </c:pt>
              <c:pt idx="2067">
                <c:v>8.2729399999999995E-2</c:v>
              </c:pt>
              <c:pt idx="2068">
                <c:v>8.2769400000000007E-2</c:v>
              </c:pt>
              <c:pt idx="2069">
                <c:v>8.2809400000000005E-2</c:v>
              </c:pt>
              <c:pt idx="2070">
                <c:v>8.2849400000000004E-2</c:v>
              </c:pt>
              <c:pt idx="2071">
                <c:v>8.2889400000000002E-2</c:v>
              </c:pt>
              <c:pt idx="2072">
                <c:v>8.29294E-2</c:v>
              </c:pt>
              <c:pt idx="2073">
                <c:v>8.2969399999999999E-2</c:v>
              </c:pt>
              <c:pt idx="2074">
                <c:v>8.3009399999999997E-2</c:v>
              </c:pt>
              <c:pt idx="2075">
                <c:v>8.3049399999999995E-2</c:v>
              </c:pt>
              <c:pt idx="2076">
                <c:v>8.3089399999999994E-2</c:v>
              </c:pt>
              <c:pt idx="2077">
                <c:v>8.3129300000000003E-2</c:v>
              </c:pt>
              <c:pt idx="2078">
                <c:v>8.3169300000000002E-2</c:v>
              </c:pt>
              <c:pt idx="2079">
                <c:v>8.32093E-2</c:v>
              </c:pt>
              <c:pt idx="2080">
                <c:v>8.3249299999999998E-2</c:v>
              </c:pt>
              <c:pt idx="2081">
                <c:v>8.3289299999999997E-2</c:v>
              </c:pt>
              <c:pt idx="2082">
                <c:v>8.3329299999999995E-2</c:v>
              </c:pt>
              <c:pt idx="2083">
                <c:v>8.3369299999999993E-2</c:v>
              </c:pt>
              <c:pt idx="2084">
                <c:v>8.3409300000000006E-2</c:v>
              </c:pt>
              <c:pt idx="2085">
                <c:v>8.3449300000000004E-2</c:v>
              </c:pt>
              <c:pt idx="2086">
                <c:v>8.3489300000000002E-2</c:v>
              </c:pt>
              <c:pt idx="2087">
                <c:v>8.3529300000000001E-2</c:v>
              </c:pt>
              <c:pt idx="2088">
                <c:v>8.3569299999999999E-2</c:v>
              </c:pt>
              <c:pt idx="2089">
                <c:v>8.3609299999999998E-2</c:v>
              </c:pt>
              <c:pt idx="2090">
                <c:v>8.3649299999999996E-2</c:v>
              </c:pt>
              <c:pt idx="2091">
                <c:v>8.3689200000000005E-2</c:v>
              </c:pt>
              <c:pt idx="2092">
                <c:v>8.3729200000000004E-2</c:v>
              </c:pt>
              <c:pt idx="2093">
                <c:v>8.3769200000000002E-2</c:v>
              </c:pt>
              <c:pt idx="2094">
                <c:v>8.38092E-2</c:v>
              </c:pt>
              <c:pt idx="2095">
                <c:v>8.3849199999999999E-2</c:v>
              </c:pt>
              <c:pt idx="2096">
                <c:v>8.3889199999999997E-2</c:v>
              </c:pt>
              <c:pt idx="2097">
                <c:v>8.3929199999999995E-2</c:v>
              </c:pt>
              <c:pt idx="2098">
                <c:v>8.3969199999999994E-2</c:v>
              </c:pt>
              <c:pt idx="2099">
                <c:v>8.4009200000000006E-2</c:v>
              </c:pt>
              <c:pt idx="2100">
                <c:v>8.4049200000000004E-2</c:v>
              </c:pt>
              <c:pt idx="2101">
                <c:v>8.4089200000000003E-2</c:v>
              </c:pt>
              <c:pt idx="2102">
                <c:v>8.4129200000000001E-2</c:v>
              </c:pt>
              <c:pt idx="2103">
                <c:v>8.41692E-2</c:v>
              </c:pt>
              <c:pt idx="2104">
                <c:v>8.4209199999999998E-2</c:v>
              </c:pt>
              <c:pt idx="2105">
                <c:v>8.4249099999999993E-2</c:v>
              </c:pt>
              <c:pt idx="2106">
                <c:v>8.4289100000000006E-2</c:v>
              </c:pt>
              <c:pt idx="2107">
                <c:v>8.4329100000000004E-2</c:v>
              </c:pt>
              <c:pt idx="2108">
                <c:v>8.4369100000000002E-2</c:v>
              </c:pt>
              <c:pt idx="2109">
                <c:v>8.4409100000000001E-2</c:v>
              </c:pt>
              <c:pt idx="2110">
                <c:v>8.4449099999999999E-2</c:v>
              </c:pt>
              <c:pt idx="2111">
                <c:v>8.4489099999999998E-2</c:v>
              </c:pt>
              <c:pt idx="2112">
                <c:v>8.4529099999999996E-2</c:v>
              </c:pt>
              <c:pt idx="2113">
                <c:v>8.4569099999999994E-2</c:v>
              </c:pt>
              <c:pt idx="2114">
                <c:v>8.4609100000000007E-2</c:v>
              </c:pt>
              <c:pt idx="2115">
                <c:v>8.4649100000000005E-2</c:v>
              </c:pt>
              <c:pt idx="2116">
                <c:v>8.4689100000000003E-2</c:v>
              </c:pt>
              <c:pt idx="2117">
                <c:v>8.4729100000000002E-2</c:v>
              </c:pt>
              <c:pt idx="2118">
                <c:v>8.47691E-2</c:v>
              </c:pt>
              <c:pt idx="2119">
                <c:v>8.4808999999999996E-2</c:v>
              </c:pt>
              <c:pt idx="2120">
                <c:v>8.4848999999999994E-2</c:v>
              </c:pt>
              <c:pt idx="2121">
                <c:v>8.4889000000000006E-2</c:v>
              </c:pt>
              <c:pt idx="2122">
                <c:v>8.4929000000000004E-2</c:v>
              </c:pt>
              <c:pt idx="2123">
                <c:v>8.4969000000000003E-2</c:v>
              </c:pt>
              <c:pt idx="2124">
                <c:v>8.5009000000000001E-2</c:v>
              </c:pt>
              <c:pt idx="2125">
                <c:v>8.5049E-2</c:v>
              </c:pt>
              <c:pt idx="2126">
                <c:v>8.5088999999999998E-2</c:v>
              </c:pt>
              <c:pt idx="2127">
                <c:v>8.5128999999999996E-2</c:v>
              </c:pt>
              <c:pt idx="2128">
                <c:v>8.5168999999999995E-2</c:v>
              </c:pt>
              <c:pt idx="2129">
                <c:v>8.5208999999999993E-2</c:v>
              </c:pt>
              <c:pt idx="2130">
                <c:v>8.5249000000000005E-2</c:v>
              </c:pt>
              <c:pt idx="2131">
                <c:v>8.5289000000000004E-2</c:v>
              </c:pt>
              <c:pt idx="2132">
                <c:v>8.5329000000000002E-2</c:v>
              </c:pt>
              <c:pt idx="2133">
                <c:v>8.5368899999999998E-2</c:v>
              </c:pt>
              <c:pt idx="2134">
                <c:v>8.5408899999999996E-2</c:v>
              </c:pt>
              <c:pt idx="2135">
                <c:v>8.5448899999999994E-2</c:v>
              </c:pt>
              <c:pt idx="2136">
                <c:v>8.5488900000000007E-2</c:v>
              </c:pt>
              <c:pt idx="2137">
                <c:v>8.5528900000000005E-2</c:v>
              </c:pt>
              <c:pt idx="2138">
                <c:v>8.5568900000000003E-2</c:v>
              </c:pt>
              <c:pt idx="2139">
                <c:v>8.5608900000000002E-2</c:v>
              </c:pt>
              <c:pt idx="2140">
                <c:v>8.56489E-2</c:v>
              </c:pt>
              <c:pt idx="2141">
                <c:v>8.5688899999999998E-2</c:v>
              </c:pt>
              <c:pt idx="2142">
                <c:v>8.5728899999999997E-2</c:v>
              </c:pt>
              <c:pt idx="2143">
                <c:v>8.5768899999999995E-2</c:v>
              </c:pt>
              <c:pt idx="2144">
                <c:v>8.5808899999999994E-2</c:v>
              </c:pt>
              <c:pt idx="2145">
                <c:v>8.5848900000000006E-2</c:v>
              </c:pt>
              <c:pt idx="2146">
                <c:v>8.5888900000000004E-2</c:v>
              </c:pt>
              <c:pt idx="2147">
                <c:v>8.59288E-2</c:v>
              </c:pt>
              <c:pt idx="2148">
                <c:v>8.5968799999999998E-2</c:v>
              </c:pt>
              <c:pt idx="2149">
                <c:v>8.6008799999999996E-2</c:v>
              </c:pt>
              <c:pt idx="2150">
                <c:v>8.6048799999999995E-2</c:v>
              </c:pt>
              <c:pt idx="2151">
                <c:v>8.6088799999999993E-2</c:v>
              </c:pt>
              <c:pt idx="2152">
                <c:v>8.6128800000000005E-2</c:v>
              </c:pt>
              <c:pt idx="2153">
                <c:v>8.6168800000000004E-2</c:v>
              </c:pt>
              <c:pt idx="2154">
                <c:v>8.6208800000000002E-2</c:v>
              </c:pt>
              <c:pt idx="2155">
                <c:v>8.62488E-2</c:v>
              </c:pt>
              <c:pt idx="2156">
                <c:v>8.6288799999999999E-2</c:v>
              </c:pt>
              <c:pt idx="2157">
                <c:v>8.6328799999999997E-2</c:v>
              </c:pt>
              <c:pt idx="2158">
                <c:v>8.6368799999999996E-2</c:v>
              </c:pt>
              <c:pt idx="2159">
                <c:v>8.6408799999999994E-2</c:v>
              </c:pt>
              <c:pt idx="2160">
                <c:v>8.6448800000000006E-2</c:v>
              </c:pt>
              <c:pt idx="2161">
                <c:v>8.6488800000000005E-2</c:v>
              </c:pt>
              <c:pt idx="2162">
                <c:v>8.6528800000000003E-2</c:v>
              </c:pt>
              <c:pt idx="2163">
                <c:v>8.6568800000000001E-2</c:v>
              </c:pt>
              <c:pt idx="2164">
                <c:v>8.66088E-2</c:v>
              </c:pt>
              <c:pt idx="2165">
                <c:v>8.6648799999999998E-2</c:v>
              </c:pt>
              <c:pt idx="2166">
                <c:v>8.6688799999999996E-2</c:v>
              </c:pt>
              <c:pt idx="2167">
                <c:v>8.6728799999999995E-2</c:v>
              </c:pt>
              <c:pt idx="2168">
                <c:v>8.6768799999999993E-2</c:v>
              </c:pt>
              <c:pt idx="2169">
                <c:v>8.6808800000000005E-2</c:v>
              </c:pt>
              <c:pt idx="2170">
                <c:v>8.6848800000000004E-2</c:v>
              </c:pt>
              <c:pt idx="2171">
                <c:v>8.6888800000000002E-2</c:v>
              </c:pt>
              <c:pt idx="2172">
                <c:v>8.6928800000000001E-2</c:v>
              </c:pt>
              <c:pt idx="2173">
                <c:v>8.6968799999999999E-2</c:v>
              </c:pt>
              <c:pt idx="2174">
                <c:v>8.7008799999999997E-2</c:v>
              </c:pt>
              <c:pt idx="2175">
                <c:v>8.7048799999999996E-2</c:v>
              </c:pt>
              <c:pt idx="2176">
                <c:v>8.7088799999999994E-2</c:v>
              </c:pt>
              <c:pt idx="2177">
                <c:v>8.7128800000000006E-2</c:v>
              </c:pt>
              <c:pt idx="2178">
                <c:v>8.7168800000000005E-2</c:v>
              </c:pt>
              <c:pt idx="2179">
                <c:v>8.7208800000000003E-2</c:v>
              </c:pt>
              <c:pt idx="2180">
                <c:v>8.7248800000000001E-2</c:v>
              </c:pt>
              <c:pt idx="2181">
                <c:v>8.72888E-2</c:v>
              </c:pt>
              <c:pt idx="2182">
                <c:v>8.7328799999999998E-2</c:v>
              </c:pt>
              <c:pt idx="2183">
                <c:v>8.7368799999999996E-2</c:v>
              </c:pt>
              <c:pt idx="2184">
                <c:v>8.7408799999999995E-2</c:v>
              </c:pt>
              <c:pt idx="2185">
                <c:v>8.7448799999999993E-2</c:v>
              </c:pt>
              <c:pt idx="2186">
                <c:v>8.7488800000000005E-2</c:v>
              </c:pt>
              <c:pt idx="2187">
                <c:v>8.7528800000000004E-2</c:v>
              </c:pt>
              <c:pt idx="2188">
                <c:v>8.7568800000000002E-2</c:v>
              </c:pt>
              <c:pt idx="2189">
                <c:v>8.7608800000000001E-2</c:v>
              </c:pt>
              <c:pt idx="2190">
                <c:v>8.7648799999999999E-2</c:v>
              </c:pt>
              <c:pt idx="2191">
                <c:v>8.7688799999999997E-2</c:v>
              </c:pt>
              <c:pt idx="2192">
                <c:v>8.7728799999999996E-2</c:v>
              </c:pt>
              <c:pt idx="2193">
                <c:v>8.7768799999999994E-2</c:v>
              </c:pt>
              <c:pt idx="2194">
                <c:v>8.7808800000000006E-2</c:v>
              </c:pt>
              <c:pt idx="2195">
                <c:v>8.7848800000000005E-2</c:v>
              </c:pt>
              <c:pt idx="2196">
                <c:v>8.7888800000000003E-2</c:v>
              </c:pt>
              <c:pt idx="2197">
                <c:v>8.7928800000000001E-2</c:v>
              </c:pt>
              <c:pt idx="2198">
                <c:v>8.79688E-2</c:v>
              </c:pt>
              <c:pt idx="2199">
                <c:v>8.8008799999999998E-2</c:v>
              </c:pt>
              <c:pt idx="2200">
                <c:v>8.8048799999999997E-2</c:v>
              </c:pt>
              <c:pt idx="2201">
                <c:v>8.8088799999999995E-2</c:v>
              </c:pt>
              <c:pt idx="2202">
                <c:v>8.8128799999999993E-2</c:v>
              </c:pt>
              <c:pt idx="2203">
                <c:v>8.8168800000000006E-2</c:v>
              </c:pt>
              <c:pt idx="2204">
                <c:v>8.8208800000000004E-2</c:v>
              </c:pt>
              <c:pt idx="2205">
                <c:v>8.8248800000000002E-2</c:v>
              </c:pt>
              <c:pt idx="2206">
                <c:v>8.8288800000000001E-2</c:v>
              </c:pt>
              <c:pt idx="2207">
                <c:v>8.8328799999999999E-2</c:v>
              </c:pt>
              <c:pt idx="2208">
                <c:v>8.8368799999999997E-2</c:v>
              </c:pt>
              <c:pt idx="2209">
                <c:v>8.8408799999999996E-2</c:v>
              </c:pt>
              <c:pt idx="2210">
                <c:v>8.8448799999999994E-2</c:v>
              </c:pt>
              <c:pt idx="2211">
                <c:v>8.8488800000000006E-2</c:v>
              </c:pt>
              <c:pt idx="2212">
                <c:v>8.8528800000000005E-2</c:v>
              </c:pt>
              <c:pt idx="2213">
                <c:v>8.8568800000000003E-2</c:v>
              </c:pt>
              <c:pt idx="2214">
                <c:v>8.8608800000000001E-2</c:v>
              </c:pt>
              <c:pt idx="2215">
                <c:v>8.86488E-2</c:v>
              </c:pt>
              <c:pt idx="2216">
                <c:v>8.8688799999999998E-2</c:v>
              </c:pt>
              <c:pt idx="2217">
                <c:v>8.8728799999999997E-2</c:v>
              </c:pt>
              <c:pt idx="2218">
                <c:v>8.8768799999999995E-2</c:v>
              </c:pt>
              <c:pt idx="2219">
                <c:v>8.8808799999999993E-2</c:v>
              </c:pt>
              <c:pt idx="2220">
                <c:v>8.8848800000000006E-2</c:v>
              </c:pt>
              <c:pt idx="2221">
                <c:v>8.8888800000000004E-2</c:v>
              </c:pt>
              <c:pt idx="2222">
                <c:v>8.8928800000000002E-2</c:v>
              </c:pt>
              <c:pt idx="2223">
                <c:v>8.8968800000000001E-2</c:v>
              </c:pt>
              <c:pt idx="2224">
                <c:v>8.9008799999999999E-2</c:v>
              </c:pt>
              <c:pt idx="2225">
                <c:v>8.9048799999999997E-2</c:v>
              </c:pt>
              <c:pt idx="2226">
                <c:v>8.9088799999999996E-2</c:v>
              </c:pt>
              <c:pt idx="2227">
                <c:v>8.9128799999999994E-2</c:v>
              </c:pt>
              <c:pt idx="2228">
                <c:v>8.9168800000000006E-2</c:v>
              </c:pt>
              <c:pt idx="2229">
                <c:v>8.9208800000000005E-2</c:v>
              </c:pt>
              <c:pt idx="2230">
                <c:v>8.9248800000000003E-2</c:v>
              </c:pt>
              <c:pt idx="2231">
                <c:v>8.9288800000000001E-2</c:v>
              </c:pt>
              <c:pt idx="2232">
                <c:v>8.93288E-2</c:v>
              </c:pt>
              <c:pt idx="2233">
                <c:v>8.9368799999999998E-2</c:v>
              </c:pt>
              <c:pt idx="2234">
                <c:v>8.9408799999999997E-2</c:v>
              </c:pt>
              <c:pt idx="2235">
                <c:v>8.9448799999999995E-2</c:v>
              </c:pt>
              <c:pt idx="2236">
                <c:v>8.9488799999999993E-2</c:v>
              </c:pt>
              <c:pt idx="2237">
                <c:v>8.9528800000000006E-2</c:v>
              </c:pt>
              <c:pt idx="2238">
                <c:v>8.9568800000000004E-2</c:v>
              </c:pt>
              <c:pt idx="2239">
                <c:v>8.9608800000000002E-2</c:v>
              </c:pt>
              <c:pt idx="2240">
                <c:v>8.9648800000000001E-2</c:v>
              </c:pt>
              <c:pt idx="2241">
                <c:v>8.9688799999999999E-2</c:v>
              </c:pt>
              <c:pt idx="2242">
                <c:v>8.9728799999999997E-2</c:v>
              </c:pt>
              <c:pt idx="2243">
                <c:v>8.9768700000000007E-2</c:v>
              </c:pt>
              <c:pt idx="2244">
                <c:v>8.9808700000000005E-2</c:v>
              </c:pt>
              <c:pt idx="2245">
                <c:v>8.9848700000000004E-2</c:v>
              </c:pt>
              <c:pt idx="2246">
                <c:v>8.9888700000000002E-2</c:v>
              </c:pt>
              <c:pt idx="2247">
                <c:v>8.99287E-2</c:v>
              </c:pt>
              <c:pt idx="2248">
                <c:v>8.9968699999999999E-2</c:v>
              </c:pt>
              <c:pt idx="2249">
                <c:v>9.0008699999999997E-2</c:v>
              </c:pt>
              <c:pt idx="2250">
                <c:v>9.0048699999999995E-2</c:v>
              </c:pt>
              <c:pt idx="2251">
                <c:v>9.0088699999999994E-2</c:v>
              </c:pt>
              <c:pt idx="2252">
                <c:v>9.0128700000000006E-2</c:v>
              </c:pt>
              <c:pt idx="2253">
                <c:v>9.0168700000000004E-2</c:v>
              </c:pt>
              <c:pt idx="2254">
                <c:v>9.0208700000000003E-2</c:v>
              </c:pt>
              <c:pt idx="2255">
                <c:v>9.0248700000000001E-2</c:v>
              </c:pt>
              <c:pt idx="2256">
                <c:v>9.02887E-2</c:v>
              </c:pt>
              <c:pt idx="2257">
                <c:v>9.0328699999999998E-2</c:v>
              </c:pt>
              <c:pt idx="2258">
                <c:v>9.0368699999999996E-2</c:v>
              </c:pt>
              <c:pt idx="2259">
                <c:v>9.0408699999999995E-2</c:v>
              </c:pt>
              <c:pt idx="2260">
                <c:v>9.0448700000000007E-2</c:v>
              </c:pt>
              <c:pt idx="2261">
                <c:v>9.0488700000000005E-2</c:v>
              </c:pt>
              <c:pt idx="2262">
                <c:v>9.0528700000000004E-2</c:v>
              </c:pt>
              <c:pt idx="2263">
                <c:v>9.0568700000000002E-2</c:v>
              </c:pt>
              <c:pt idx="2264">
                <c:v>9.06087E-2</c:v>
              </c:pt>
              <c:pt idx="2265">
                <c:v>9.0648699999999999E-2</c:v>
              </c:pt>
              <c:pt idx="2266">
                <c:v>9.0688699999999997E-2</c:v>
              </c:pt>
              <c:pt idx="2267">
                <c:v>9.0728699999999995E-2</c:v>
              </c:pt>
              <c:pt idx="2268">
                <c:v>9.0768699999999994E-2</c:v>
              </c:pt>
              <c:pt idx="2269">
                <c:v>9.0808700000000006E-2</c:v>
              </c:pt>
              <c:pt idx="2270">
                <c:v>9.0848700000000004E-2</c:v>
              </c:pt>
              <c:pt idx="2271">
                <c:v>9.0888700000000003E-2</c:v>
              </c:pt>
              <c:pt idx="2272">
                <c:v>9.0928700000000001E-2</c:v>
              </c:pt>
              <c:pt idx="2273">
                <c:v>9.09687E-2</c:v>
              </c:pt>
              <c:pt idx="2274">
                <c:v>9.1008699999999998E-2</c:v>
              </c:pt>
              <c:pt idx="2275">
                <c:v>9.1048699999999996E-2</c:v>
              </c:pt>
              <c:pt idx="2276">
                <c:v>9.1088699999999995E-2</c:v>
              </c:pt>
              <c:pt idx="2277">
                <c:v>9.1128700000000007E-2</c:v>
              </c:pt>
              <c:pt idx="2278">
                <c:v>9.1168700000000005E-2</c:v>
              </c:pt>
              <c:pt idx="2279">
                <c:v>9.1208700000000004E-2</c:v>
              </c:pt>
              <c:pt idx="2280">
                <c:v>9.1248700000000002E-2</c:v>
              </c:pt>
              <c:pt idx="2281">
                <c:v>9.12887E-2</c:v>
              </c:pt>
              <c:pt idx="2282">
                <c:v>9.1328699999999999E-2</c:v>
              </c:pt>
              <c:pt idx="2283">
                <c:v>9.1368699999999997E-2</c:v>
              </c:pt>
              <c:pt idx="2284">
                <c:v>9.1408699999999996E-2</c:v>
              </c:pt>
              <c:pt idx="2285">
                <c:v>9.1448699999999994E-2</c:v>
              </c:pt>
              <c:pt idx="2286">
                <c:v>9.1488700000000006E-2</c:v>
              </c:pt>
              <c:pt idx="2287">
                <c:v>9.1528700000000004E-2</c:v>
              </c:pt>
              <c:pt idx="2288">
                <c:v>9.1568700000000003E-2</c:v>
              </c:pt>
              <c:pt idx="2289">
                <c:v>9.1608700000000001E-2</c:v>
              </c:pt>
              <c:pt idx="2290">
                <c:v>9.16487E-2</c:v>
              </c:pt>
              <c:pt idx="2291">
                <c:v>9.1688699999999998E-2</c:v>
              </c:pt>
              <c:pt idx="2292">
                <c:v>9.1728699999999996E-2</c:v>
              </c:pt>
              <c:pt idx="2293">
                <c:v>9.1768699999999995E-2</c:v>
              </c:pt>
              <c:pt idx="2294">
                <c:v>9.1808699999999993E-2</c:v>
              </c:pt>
              <c:pt idx="2295">
                <c:v>9.1848700000000005E-2</c:v>
              </c:pt>
              <c:pt idx="2296">
                <c:v>9.1888700000000004E-2</c:v>
              </c:pt>
              <c:pt idx="2297">
                <c:v>9.1928700000000002E-2</c:v>
              </c:pt>
              <c:pt idx="2298">
                <c:v>9.19687E-2</c:v>
              </c:pt>
              <c:pt idx="2299">
                <c:v>9.2008699999999999E-2</c:v>
              </c:pt>
              <c:pt idx="2300">
                <c:v>9.2048699999999997E-2</c:v>
              </c:pt>
              <c:pt idx="2301">
                <c:v>9.2088699999999996E-2</c:v>
              </c:pt>
              <c:pt idx="2302">
                <c:v>9.2128699999999994E-2</c:v>
              </c:pt>
              <c:pt idx="2303">
                <c:v>9.2168700000000006E-2</c:v>
              </c:pt>
              <c:pt idx="2304">
                <c:v>9.2208700000000005E-2</c:v>
              </c:pt>
              <c:pt idx="2305">
                <c:v>9.2248700000000003E-2</c:v>
              </c:pt>
              <c:pt idx="2306">
                <c:v>9.2288700000000001E-2</c:v>
              </c:pt>
              <c:pt idx="2307">
                <c:v>9.23287E-2</c:v>
              </c:pt>
              <c:pt idx="2308">
                <c:v>9.2368699999999998E-2</c:v>
              </c:pt>
              <c:pt idx="2309">
                <c:v>9.2408699999999996E-2</c:v>
              </c:pt>
              <c:pt idx="2310">
                <c:v>9.2448699999999995E-2</c:v>
              </c:pt>
              <c:pt idx="2311">
                <c:v>9.2488699999999993E-2</c:v>
              </c:pt>
              <c:pt idx="2312">
                <c:v>9.2528700000000005E-2</c:v>
              </c:pt>
              <c:pt idx="2313">
                <c:v>9.2568700000000004E-2</c:v>
              </c:pt>
              <c:pt idx="2314">
                <c:v>9.2608700000000002E-2</c:v>
              </c:pt>
              <c:pt idx="2315">
                <c:v>9.26487E-2</c:v>
              </c:pt>
              <c:pt idx="2316">
                <c:v>9.2688699999999999E-2</c:v>
              </c:pt>
              <c:pt idx="2317">
                <c:v>9.2728699999999997E-2</c:v>
              </c:pt>
              <c:pt idx="2318">
                <c:v>9.2768699999999996E-2</c:v>
              </c:pt>
              <c:pt idx="2319">
                <c:v>9.2808699999999994E-2</c:v>
              </c:pt>
              <c:pt idx="2320">
                <c:v>9.2848700000000006E-2</c:v>
              </c:pt>
              <c:pt idx="2321">
                <c:v>9.2888700000000005E-2</c:v>
              </c:pt>
              <c:pt idx="2322">
                <c:v>9.2928700000000003E-2</c:v>
              </c:pt>
              <c:pt idx="2323">
                <c:v>9.2968700000000001E-2</c:v>
              </c:pt>
              <c:pt idx="2324">
                <c:v>9.30087E-2</c:v>
              </c:pt>
              <c:pt idx="2325">
                <c:v>9.3048699999999998E-2</c:v>
              </c:pt>
              <c:pt idx="2326">
                <c:v>9.3088699999999996E-2</c:v>
              </c:pt>
              <c:pt idx="2327">
                <c:v>9.3128699999999995E-2</c:v>
              </c:pt>
              <c:pt idx="2328">
                <c:v>9.3168699999999993E-2</c:v>
              </c:pt>
              <c:pt idx="2329">
                <c:v>9.3208700000000005E-2</c:v>
              </c:pt>
              <c:pt idx="2330">
                <c:v>9.3248700000000004E-2</c:v>
              </c:pt>
              <c:pt idx="2331">
                <c:v>9.3288700000000002E-2</c:v>
              </c:pt>
              <c:pt idx="2332">
                <c:v>9.3328700000000001E-2</c:v>
              </c:pt>
              <c:pt idx="2333">
                <c:v>9.3368699999999999E-2</c:v>
              </c:pt>
              <c:pt idx="2334">
                <c:v>9.3408699999999997E-2</c:v>
              </c:pt>
              <c:pt idx="2335">
                <c:v>9.3448699999999996E-2</c:v>
              </c:pt>
              <c:pt idx="2336">
                <c:v>9.3488699999999994E-2</c:v>
              </c:pt>
              <c:pt idx="2337">
                <c:v>9.3528700000000006E-2</c:v>
              </c:pt>
              <c:pt idx="2338">
                <c:v>9.3568700000000005E-2</c:v>
              </c:pt>
              <c:pt idx="2339">
                <c:v>9.3608700000000003E-2</c:v>
              </c:pt>
              <c:pt idx="2340">
                <c:v>9.3648700000000001E-2</c:v>
              </c:pt>
              <c:pt idx="2341">
                <c:v>9.36887E-2</c:v>
              </c:pt>
              <c:pt idx="2342">
                <c:v>9.3728699999999998E-2</c:v>
              </c:pt>
              <c:pt idx="2343">
                <c:v>9.3768699999999996E-2</c:v>
              </c:pt>
              <c:pt idx="2344">
                <c:v>9.3808699999999995E-2</c:v>
              </c:pt>
              <c:pt idx="2345">
                <c:v>9.3848699999999993E-2</c:v>
              </c:pt>
              <c:pt idx="2346">
                <c:v>9.3888700000000005E-2</c:v>
              </c:pt>
              <c:pt idx="2347">
                <c:v>9.3928700000000004E-2</c:v>
              </c:pt>
              <c:pt idx="2348">
                <c:v>9.3968700000000002E-2</c:v>
              </c:pt>
              <c:pt idx="2349">
                <c:v>9.4008700000000001E-2</c:v>
              </c:pt>
              <c:pt idx="2350">
                <c:v>9.4048699999999999E-2</c:v>
              </c:pt>
              <c:pt idx="2351">
                <c:v>9.4088699999999997E-2</c:v>
              </c:pt>
              <c:pt idx="2352">
                <c:v>9.4128699999999996E-2</c:v>
              </c:pt>
              <c:pt idx="2353">
                <c:v>9.4168699999999994E-2</c:v>
              </c:pt>
              <c:pt idx="2354">
                <c:v>9.4208700000000006E-2</c:v>
              </c:pt>
              <c:pt idx="2355">
                <c:v>9.4248700000000005E-2</c:v>
              </c:pt>
              <c:pt idx="2356">
                <c:v>9.4288700000000003E-2</c:v>
              </c:pt>
              <c:pt idx="2357">
                <c:v>9.4328700000000001E-2</c:v>
              </c:pt>
              <c:pt idx="2358">
                <c:v>9.43687E-2</c:v>
              </c:pt>
              <c:pt idx="2359">
                <c:v>9.4408699999999998E-2</c:v>
              </c:pt>
              <c:pt idx="2360">
                <c:v>9.4448699999999997E-2</c:v>
              </c:pt>
              <c:pt idx="2361">
                <c:v>9.4488699999999995E-2</c:v>
              </c:pt>
              <c:pt idx="2362">
                <c:v>9.4528699999999993E-2</c:v>
              </c:pt>
              <c:pt idx="2363">
                <c:v>9.4568700000000006E-2</c:v>
              </c:pt>
              <c:pt idx="2364">
                <c:v>9.4608700000000004E-2</c:v>
              </c:pt>
              <c:pt idx="2365">
                <c:v>9.4648700000000002E-2</c:v>
              </c:pt>
              <c:pt idx="2366">
                <c:v>9.4688700000000001E-2</c:v>
              </c:pt>
              <c:pt idx="2367">
                <c:v>9.4728699999999999E-2</c:v>
              </c:pt>
              <c:pt idx="2368">
                <c:v>9.4768699999999997E-2</c:v>
              </c:pt>
              <c:pt idx="2369">
                <c:v>9.4808699999999996E-2</c:v>
              </c:pt>
              <c:pt idx="2370">
                <c:v>9.4848699999999994E-2</c:v>
              </c:pt>
              <c:pt idx="2371">
                <c:v>9.4888700000000006E-2</c:v>
              </c:pt>
              <c:pt idx="2372">
                <c:v>9.4928700000000005E-2</c:v>
              </c:pt>
              <c:pt idx="2373">
                <c:v>9.4968700000000003E-2</c:v>
              </c:pt>
              <c:pt idx="2374">
                <c:v>9.5008700000000001E-2</c:v>
              </c:pt>
              <c:pt idx="2375">
                <c:v>9.50487E-2</c:v>
              </c:pt>
              <c:pt idx="2376">
                <c:v>9.5088699999999998E-2</c:v>
              </c:pt>
              <c:pt idx="2377">
                <c:v>9.5128699999999997E-2</c:v>
              </c:pt>
              <c:pt idx="2378">
                <c:v>9.5168699999999995E-2</c:v>
              </c:pt>
              <c:pt idx="2379">
                <c:v>9.5208699999999993E-2</c:v>
              </c:pt>
              <c:pt idx="2380">
                <c:v>9.5248700000000006E-2</c:v>
              </c:pt>
              <c:pt idx="2381">
                <c:v>9.5288700000000004E-2</c:v>
              </c:pt>
              <c:pt idx="2382">
                <c:v>9.5328700000000002E-2</c:v>
              </c:pt>
              <c:pt idx="2383">
                <c:v>9.5368700000000001E-2</c:v>
              </c:pt>
              <c:pt idx="2384">
                <c:v>9.5408699999999999E-2</c:v>
              </c:pt>
              <c:pt idx="2385">
                <c:v>9.5448699999999997E-2</c:v>
              </c:pt>
              <c:pt idx="2386">
                <c:v>9.5488699999999996E-2</c:v>
              </c:pt>
              <c:pt idx="2387">
                <c:v>9.5528699999999994E-2</c:v>
              </c:pt>
              <c:pt idx="2388">
                <c:v>9.5568700000000006E-2</c:v>
              </c:pt>
              <c:pt idx="2389">
                <c:v>9.5608700000000005E-2</c:v>
              </c:pt>
              <c:pt idx="2390">
                <c:v>9.5648700000000003E-2</c:v>
              </c:pt>
              <c:pt idx="2391">
                <c:v>9.5688700000000002E-2</c:v>
              </c:pt>
              <c:pt idx="2392">
                <c:v>9.57287E-2</c:v>
              </c:pt>
              <c:pt idx="2393">
                <c:v>9.5768699999999998E-2</c:v>
              </c:pt>
              <c:pt idx="2394">
                <c:v>9.5808699999999997E-2</c:v>
              </c:pt>
              <c:pt idx="2395">
                <c:v>9.5848699999999995E-2</c:v>
              </c:pt>
              <c:pt idx="2396">
                <c:v>9.5888699999999993E-2</c:v>
              </c:pt>
              <c:pt idx="2397">
                <c:v>9.5928700000000006E-2</c:v>
              </c:pt>
              <c:pt idx="2398">
                <c:v>9.5968700000000004E-2</c:v>
              </c:pt>
              <c:pt idx="2399">
                <c:v>9.6008700000000002E-2</c:v>
              </c:pt>
              <c:pt idx="2400">
                <c:v>9.6048700000000001E-2</c:v>
              </c:pt>
              <c:pt idx="2401">
                <c:v>9.6088699999999999E-2</c:v>
              </c:pt>
              <c:pt idx="2402">
                <c:v>9.6128699999999997E-2</c:v>
              </c:pt>
              <c:pt idx="2403">
                <c:v>9.6168699999999996E-2</c:v>
              </c:pt>
              <c:pt idx="2404">
                <c:v>9.6208699999999994E-2</c:v>
              </c:pt>
              <c:pt idx="2405">
                <c:v>9.6248700000000006E-2</c:v>
              </c:pt>
              <c:pt idx="2406">
                <c:v>9.6288700000000005E-2</c:v>
              </c:pt>
              <c:pt idx="2407">
                <c:v>9.6328700000000003E-2</c:v>
              </c:pt>
              <c:pt idx="2408">
                <c:v>9.6368700000000002E-2</c:v>
              </c:pt>
              <c:pt idx="2409">
                <c:v>9.64087E-2</c:v>
              </c:pt>
              <c:pt idx="2410">
                <c:v>9.6448699999999998E-2</c:v>
              </c:pt>
              <c:pt idx="2411">
                <c:v>9.6488699999999997E-2</c:v>
              </c:pt>
              <c:pt idx="2412">
                <c:v>9.6528699999999995E-2</c:v>
              </c:pt>
              <c:pt idx="2413">
                <c:v>9.6568699999999993E-2</c:v>
              </c:pt>
              <c:pt idx="2414">
                <c:v>9.6608700000000006E-2</c:v>
              </c:pt>
              <c:pt idx="2415">
                <c:v>9.6648700000000004E-2</c:v>
              </c:pt>
              <c:pt idx="2416">
                <c:v>9.6688700000000002E-2</c:v>
              </c:pt>
              <c:pt idx="2417">
                <c:v>9.6728700000000001E-2</c:v>
              </c:pt>
              <c:pt idx="2418">
                <c:v>9.6768699999999999E-2</c:v>
              </c:pt>
              <c:pt idx="2419">
                <c:v>9.6808699999999998E-2</c:v>
              </c:pt>
              <c:pt idx="2420">
                <c:v>9.6848699999999996E-2</c:v>
              </c:pt>
              <c:pt idx="2421">
                <c:v>9.6888699999999994E-2</c:v>
              </c:pt>
              <c:pt idx="2422">
                <c:v>9.6928700000000007E-2</c:v>
              </c:pt>
              <c:pt idx="2423">
                <c:v>9.6968700000000005E-2</c:v>
              </c:pt>
              <c:pt idx="2424">
                <c:v>9.7008700000000003E-2</c:v>
              </c:pt>
              <c:pt idx="2425">
                <c:v>9.7048700000000002E-2</c:v>
              </c:pt>
              <c:pt idx="2426">
                <c:v>9.70887E-2</c:v>
              </c:pt>
              <c:pt idx="2427">
                <c:v>9.7128699999999998E-2</c:v>
              </c:pt>
              <c:pt idx="2428">
                <c:v>9.7168699999999997E-2</c:v>
              </c:pt>
              <c:pt idx="2429">
                <c:v>9.7208699999999995E-2</c:v>
              </c:pt>
              <c:pt idx="2430">
                <c:v>9.7248699999999993E-2</c:v>
              </c:pt>
              <c:pt idx="2431">
                <c:v>9.7288700000000006E-2</c:v>
              </c:pt>
              <c:pt idx="2432">
                <c:v>9.7328700000000004E-2</c:v>
              </c:pt>
              <c:pt idx="2433">
                <c:v>9.7368700000000002E-2</c:v>
              </c:pt>
              <c:pt idx="2434">
                <c:v>9.7408700000000001E-2</c:v>
              </c:pt>
              <c:pt idx="2435">
                <c:v>9.7448699999999999E-2</c:v>
              </c:pt>
              <c:pt idx="2436">
                <c:v>9.7488699999999998E-2</c:v>
              </c:pt>
              <c:pt idx="2437">
                <c:v>9.7528699999999996E-2</c:v>
              </c:pt>
              <c:pt idx="2438">
                <c:v>9.7568699999999994E-2</c:v>
              </c:pt>
              <c:pt idx="2439">
                <c:v>9.7608700000000007E-2</c:v>
              </c:pt>
              <c:pt idx="2440">
                <c:v>9.7648700000000005E-2</c:v>
              </c:pt>
              <c:pt idx="2441">
                <c:v>9.7688700000000003E-2</c:v>
              </c:pt>
              <c:pt idx="2442">
                <c:v>9.7728700000000002E-2</c:v>
              </c:pt>
              <c:pt idx="2443">
                <c:v>9.77687E-2</c:v>
              </c:pt>
              <c:pt idx="2444">
                <c:v>9.7808699999999998E-2</c:v>
              </c:pt>
              <c:pt idx="2445">
                <c:v>9.7848699999999997E-2</c:v>
              </c:pt>
              <c:pt idx="2446">
                <c:v>9.7888699999999995E-2</c:v>
              </c:pt>
              <c:pt idx="2447">
                <c:v>9.7928699999999994E-2</c:v>
              </c:pt>
              <c:pt idx="2448">
                <c:v>9.7968700000000006E-2</c:v>
              </c:pt>
              <c:pt idx="2449">
                <c:v>9.8008700000000004E-2</c:v>
              </c:pt>
              <c:pt idx="2450">
                <c:v>9.8048700000000003E-2</c:v>
              </c:pt>
              <c:pt idx="2451">
                <c:v>9.8088700000000001E-2</c:v>
              </c:pt>
              <c:pt idx="2452">
                <c:v>9.8128699999999999E-2</c:v>
              </c:pt>
              <c:pt idx="2453">
                <c:v>9.8168699999999998E-2</c:v>
              </c:pt>
              <c:pt idx="2454">
                <c:v>9.8208699999999996E-2</c:v>
              </c:pt>
              <c:pt idx="2455">
                <c:v>9.8248699999999994E-2</c:v>
              </c:pt>
              <c:pt idx="2456">
                <c:v>9.8288700000000007E-2</c:v>
              </c:pt>
              <c:pt idx="2457">
                <c:v>9.8328700000000005E-2</c:v>
              </c:pt>
              <c:pt idx="2458">
                <c:v>9.8368700000000003E-2</c:v>
              </c:pt>
              <c:pt idx="2459">
                <c:v>9.8408700000000002E-2</c:v>
              </c:pt>
              <c:pt idx="2460">
                <c:v>9.84487E-2</c:v>
              </c:pt>
              <c:pt idx="2461">
                <c:v>9.8488699999999998E-2</c:v>
              </c:pt>
              <c:pt idx="2462">
                <c:v>9.8528699999999997E-2</c:v>
              </c:pt>
              <c:pt idx="2463">
                <c:v>9.8568699999999995E-2</c:v>
              </c:pt>
              <c:pt idx="2464">
                <c:v>9.8608699999999994E-2</c:v>
              </c:pt>
              <c:pt idx="2465">
                <c:v>9.8648700000000006E-2</c:v>
              </c:pt>
              <c:pt idx="2466">
                <c:v>9.8688700000000004E-2</c:v>
              </c:pt>
              <c:pt idx="2467">
                <c:v>9.8728700000000003E-2</c:v>
              </c:pt>
              <c:pt idx="2468">
                <c:v>9.8768700000000001E-2</c:v>
              </c:pt>
              <c:pt idx="2469">
                <c:v>9.8808699999999999E-2</c:v>
              </c:pt>
              <c:pt idx="2470">
                <c:v>9.8848699999999998E-2</c:v>
              </c:pt>
              <c:pt idx="2471">
                <c:v>9.8888699999999996E-2</c:v>
              </c:pt>
              <c:pt idx="2472">
                <c:v>9.8928699999999994E-2</c:v>
              </c:pt>
              <c:pt idx="2473">
                <c:v>9.8968700000000007E-2</c:v>
              </c:pt>
              <c:pt idx="2474">
                <c:v>9.9008700000000005E-2</c:v>
              </c:pt>
              <c:pt idx="2475">
                <c:v>9.9048700000000003E-2</c:v>
              </c:pt>
              <c:pt idx="2476">
                <c:v>9.9088700000000002E-2</c:v>
              </c:pt>
              <c:pt idx="2477">
                <c:v>9.91287E-2</c:v>
              </c:pt>
              <c:pt idx="2478">
                <c:v>9.9168699999999999E-2</c:v>
              </c:pt>
              <c:pt idx="2479">
                <c:v>9.9208699999999997E-2</c:v>
              </c:pt>
              <c:pt idx="2480">
                <c:v>9.9248699999999995E-2</c:v>
              </c:pt>
              <c:pt idx="2481">
                <c:v>9.9288699999999994E-2</c:v>
              </c:pt>
              <c:pt idx="2482">
                <c:v>9.9328700000000006E-2</c:v>
              </c:pt>
              <c:pt idx="2483">
                <c:v>9.9368700000000004E-2</c:v>
              </c:pt>
              <c:pt idx="2484">
                <c:v>9.9408700000000003E-2</c:v>
              </c:pt>
              <c:pt idx="2485">
                <c:v>9.9448700000000001E-2</c:v>
              </c:pt>
              <c:pt idx="2486">
                <c:v>9.9488699999999999E-2</c:v>
              </c:pt>
              <c:pt idx="2487">
                <c:v>9.9528699999999998E-2</c:v>
              </c:pt>
              <c:pt idx="2488">
                <c:v>9.9568699999999996E-2</c:v>
              </c:pt>
              <c:pt idx="2489">
                <c:v>9.9608699999999994E-2</c:v>
              </c:pt>
              <c:pt idx="2490">
                <c:v>9.9648700000000007E-2</c:v>
              </c:pt>
              <c:pt idx="2491">
                <c:v>9.9688700000000005E-2</c:v>
              </c:pt>
              <c:pt idx="2492">
                <c:v>9.9728700000000003E-2</c:v>
              </c:pt>
              <c:pt idx="2493">
                <c:v>9.9768700000000002E-2</c:v>
              </c:pt>
              <c:pt idx="2494">
                <c:v>9.98087E-2</c:v>
              </c:pt>
              <c:pt idx="2495">
                <c:v>9.9848699999999999E-2</c:v>
              </c:pt>
              <c:pt idx="2496">
                <c:v>9.9888699999999997E-2</c:v>
              </c:pt>
              <c:pt idx="2497">
                <c:v>9.9928699999999995E-2</c:v>
              </c:pt>
              <c:pt idx="2498">
                <c:v>9.9968699999999994E-2</c:v>
              </c:pt>
              <c:pt idx="2499">
                <c:v>0.100009</c:v>
              </c:pt>
              <c:pt idx="2500">
                <c:v>0.100049</c:v>
              </c:pt>
              <c:pt idx="2501">
                <c:v>0.100089</c:v>
              </c:pt>
              <c:pt idx="2502">
                <c:v>0.100129</c:v>
              </c:pt>
              <c:pt idx="2503">
                <c:v>0.10016899999999999</c:v>
              </c:pt>
              <c:pt idx="2504">
                <c:v>0.10020900000000001</c:v>
              </c:pt>
              <c:pt idx="2505">
                <c:v>0.100249</c:v>
              </c:pt>
              <c:pt idx="2506">
                <c:v>0.100289</c:v>
              </c:pt>
              <c:pt idx="2507">
                <c:v>0.100329</c:v>
              </c:pt>
              <c:pt idx="2508">
                <c:v>0.100369</c:v>
              </c:pt>
              <c:pt idx="2509">
                <c:v>0.100409</c:v>
              </c:pt>
              <c:pt idx="2510">
                <c:v>0.100449</c:v>
              </c:pt>
              <c:pt idx="2511">
                <c:v>0.10048899999999999</c:v>
              </c:pt>
              <c:pt idx="2512">
                <c:v>0.10052899999999999</c:v>
              </c:pt>
              <c:pt idx="2513">
                <c:v>0.10056900000000001</c:v>
              </c:pt>
              <c:pt idx="2514">
                <c:v>0.100609</c:v>
              </c:pt>
              <c:pt idx="2515">
                <c:v>0.100649</c:v>
              </c:pt>
              <c:pt idx="2516">
                <c:v>0.100689</c:v>
              </c:pt>
              <c:pt idx="2517">
                <c:v>0.100729</c:v>
              </c:pt>
              <c:pt idx="2518">
                <c:v>0.100769</c:v>
              </c:pt>
              <c:pt idx="2519">
                <c:v>0.100809</c:v>
              </c:pt>
              <c:pt idx="2520">
                <c:v>0.10084899999999999</c:v>
              </c:pt>
              <c:pt idx="2521">
                <c:v>0.10088900000000001</c:v>
              </c:pt>
              <c:pt idx="2522">
                <c:v>0.100929</c:v>
              </c:pt>
              <c:pt idx="2523">
                <c:v>0.100969</c:v>
              </c:pt>
              <c:pt idx="2524">
                <c:v>0.101009</c:v>
              </c:pt>
              <c:pt idx="2525">
                <c:v>0.101049</c:v>
              </c:pt>
              <c:pt idx="2526">
                <c:v>0.101089</c:v>
              </c:pt>
              <c:pt idx="2527">
                <c:v>0.101129</c:v>
              </c:pt>
              <c:pt idx="2528">
                <c:v>0.101169</c:v>
              </c:pt>
              <c:pt idx="2529">
                <c:v>0.10120899999999999</c:v>
              </c:pt>
              <c:pt idx="2530">
                <c:v>0.10124900000000001</c:v>
              </c:pt>
              <c:pt idx="2531">
                <c:v>0.101289</c:v>
              </c:pt>
              <c:pt idx="2532">
                <c:v>0.101329</c:v>
              </c:pt>
              <c:pt idx="2533">
                <c:v>0.101369</c:v>
              </c:pt>
              <c:pt idx="2534">
                <c:v>0.101409</c:v>
              </c:pt>
              <c:pt idx="2535">
                <c:v>0.101449</c:v>
              </c:pt>
              <c:pt idx="2536">
                <c:v>0.101489</c:v>
              </c:pt>
              <c:pt idx="2537">
                <c:v>0.10152899999999999</c:v>
              </c:pt>
              <c:pt idx="2538">
                <c:v>0.10156900000000001</c:v>
              </c:pt>
              <c:pt idx="2539">
                <c:v>0.101609</c:v>
              </c:pt>
              <c:pt idx="2540">
                <c:v>0.101649</c:v>
              </c:pt>
              <c:pt idx="2541">
                <c:v>0.101689</c:v>
              </c:pt>
              <c:pt idx="2542">
                <c:v>0.101729</c:v>
              </c:pt>
              <c:pt idx="2543">
                <c:v>0.101769</c:v>
              </c:pt>
              <c:pt idx="2544">
                <c:v>0.101809</c:v>
              </c:pt>
              <c:pt idx="2545">
                <c:v>0.101849</c:v>
              </c:pt>
              <c:pt idx="2546">
                <c:v>0.10188899999999999</c:v>
              </c:pt>
              <c:pt idx="2547">
                <c:v>0.10192900000000001</c:v>
              </c:pt>
              <c:pt idx="2548">
                <c:v>0.101969</c:v>
              </c:pt>
              <c:pt idx="2549">
                <c:v>0.102009</c:v>
              </c:pt>
              <c:pt idx="2550">
                <c:v>0.102049</c:v>
              </c:pt>
              <c:pt idx="2551">
                <c:v>0.102089</c:v>
              </c:pt>
              <c:pt idx="2552">
                <c:v>0.102129</c:v>
              </c:pt>
              <c:pt idx="2553">
                <c:v>0.102169</c:v>
              </c:pt>
              <c:pt idx="2554">
                <c:v>0.10220899999999999</c:v>
              </c:pt>
              <c:pt idx="2555">
                <c:v>0.10224900000000001</c:v>
              </c:pt>
              <c:pt idx="2556">
                <c:v>0.102289</c:v>
              </c:pt>
              <c:pt idx="2557">
                <c:v>0.102329</c:v>
              </c:pt>
              <c:pt idx="2558">
                <c:v>0.102369</c:v>
              </c:pt>
              <c:pt idx="2559">
                <c:v>0.102409</c:v>
              </c:pt>
              <c:pt idx="2560">
                <c:v>0.102449</c:v>
              </c:pt>
              <c:pt idx="2561">
                <c:v>0.102489</c:v>
              </c:pt>
              <c:pt idx="2562">
                <c:v>0.102529</c:v>
              </c:pt>
              <c:pt idx="2563">
                <c:v>0.10256899999999999</c:v>
              </c:pt>
              <c:pt idx="2564">
                <c:v>0.10260900000000001</c:v>
              </c:pt>
              <c:pt idx="2565">
                <c:v>0.102649</c:v>
              </c:pt>
              <c:pt idx="2566">
                <c:v>0.102689</c:v>
              </c:pt>
              <c:pt idx="2567">
                <c:v>0.102729</c:v>
              </c:pt>
              <c:pt idx="2568">
                <c:v>0.102769</c:v>
              </c:pt>
              <c:pt idx="2569">
                <c:v>0.102809</c:v>
              </c:pt>
              <c:pt idx="2570">
                <c:v>0.102849</c:v>
              </c:pt>
              <c:pt idx="2571">
                <c:v>0.10288899999999999</c:v>
              </c:pt>
              <c:pt idx="2572">
                <c:v>0.10292900000000001</c:v>
              </c:pt>
              <c:pt idx="2573">
                <c:v>0.102969</c:v>
              </c:pt>
              <c:pt idx="2574">
                <c:v>0.103009</c:v>
              </c:pt>
              <c:pt idx="2575">
                <c:v>0.103049</c:v>
              </c:pt>
              <c:pt idx="2576">
                <c:v>0.103089</c:v>
              </c:pt>
              <c:pt idx="2577">
                <c:v>0.103129</c:v>
              </c:pt>
              <c:pt idx="2578">
                <c:v>0.103169</c:v>
              </c:pt>
              <c:pt idx="2579">
                <c:v>0.103209</c:v>
              </c:pt>
              <c:pt idx="2580">
                <c:v>0.10324899999999999</c:v>
              </c:pt>
              <c:pt idx="2581">
                <c:v>0.10328900000000001</c:v>
              </c:pt>
              <c:pt idx="2582">
                <c:v>0.103329</c:v>
              </c:pt>
              <c:pt idx="2583">
                <c:v>0.103369</c:v>
              </c:pt>
              <c:pt idx="2584">
                <c:v>0.103409</c:v>
              </c:pt>
              <c:pt idx="2585">
                <c:v>0.103449</c:v>
              </c:pt>
              <c:pt idx="2586">
                <c:v>0.103489</c:v>
              </c:pt>
              <c:pt idx="2587">
                <c:v>0.103529</c:v>
              </c:pt>
              <c:pt idx="2588">
                <c:v>0.10356899999999999</c:v>
              </c:pt>
              <c:pt idx="2589">
                <c:v>0.10360900000000001</c:v>
              </c:pt>
              <c:pt idx="2590">
                <c:v>0.10364900000000001</c:v>
              </c:pt>
              <c:pt idx="2591">
                <c:v>0.103689</c:v>
              </c:pt>
              <c:pt idx="2592">
                <c:v>0.103729</c:v>
              </c:pt>
              <c:pt idx="2593">
                <c:v>0.103769</c:v>
              </c:pt>
              <c:pt idx="2594">
                <c:v>0.103809</c:v>
              </c:pt>
              <c:pt idx="2595">
                <c:v>0.103849</c:v>
              </c:pt>
              <c:pt idx="2596">
                <c:v>0.103889</c:v>
              </c:pt>
              <c:pt idx="2597">
                <c:v>0.10392899999999999</c:v>
              </c:pt>
              <c:pt idx="2598">
                <c:v>0.10396900000000001</c:v>
              </c:pt>
              <c:pt idx="2599">
                <c:v>0.104009</c:v>
              </c:pt>
              <c:pt idx="2600">
                <c:v>0.104049</c:v>
              </c:pt>
              <c:pt idx="2601">
                <c:v>0.104089</c:v>
              </c:pt>
              <c:pt idx="2602">
                <c:v>0.104129</c:v>
              </c:pt>
              <c:pt idx="2603">
                <c:v>0.104169</c:v>
              </c:pt>
              <c:pt idx="2604">
                <c:v>0.104209</c:v>
              </c:pt>
              <c:pt idx="2605">
                <c:v>0.10424899999999999</c:v>
              </c:pt>
              <c:pt idx="2606">
                <c:v>0.10428900000000001</c:v>
              </c:pt>
              <c:pt idx="2607">
                <c:v>0.10432900000000001</c:v>
              </c:pt>
              <c:pt idx="2608">
                <c:v>0.104369</c:v>
              </c:pt>
              <c:pt idx="2609">
                <c:v>0.104409</c:v>
              </c:pt>
              <c:pt idx="2610">
                <c:v>0.104449</c:v>
              </c:pt>
              <c:pt idx="2611">
                <c:v>0.104489</c:v>
              </c:pt>
              <c:pt idx="2612">
                <c:v>0.104529</c:v>
              </c:pt>
              <c:pt idx="2613">
                <c:v>0.104569</c:v>
              </c:pt>
              <c:pt idx="2614">
                <c:v>0.10460899999999999</c:v>
              </c:pt>
              <c:pt idx="2615">
                <c:v>0.10464900000000001</c:v>
              </c:pt>
              <c:pt idx="2616">
                <c:v>0.104689</c:v>
              </c:pt>
              <c:pt idx="2617">
                <c:v>0.104729</c:v>
              </c:pt>
              <c:pt idx="2618">
                <c:v>0.104769</c:v>
              </c:pt>
              <c:pt idx="2619">
                <c:v>0.104809</c:v>
              </c:pt>
              <c:pt idx="2620">
                <c:v>0.104849</c:v>
              </c:pt>
              <c:pt idx="2621">
                <c:v>0.104889</c:v>
              </c:pt>
              <c:pt idx="2622">
                <c:v>0.10492899999999999</c:v>
              </c:pt>
              <c:pt idx="2623">
                <c:v>0.10496900000000001</c:v>
              </c:pt>
              <c:pt idx="2624">
                <c:v>0.10500900000000001</c:v>
              </c:pt>
              <c:pt idx="2625">
                <c:v>0.105049</c:v>
              </c:pt>
              <c:pt idx="2626">
                <c:v>0.105089</c:v>
              </c:pt>
              <c:pt idx="2627">
                <c:v>0.105129</c:v>
              </c:pt>
              <c:pt idx="2628">
                <c:v>0.105169</c:v>
              </c:pt>
              <c:pt idx="2629">
                <c:v>0.105209</c:v>
              </c:pt>
              <c:pt idx="2630">
                <c:v>0.105249</c:v>
              </c:pt>
              <c:pt idx="2631">
                <c:v>0.10528899999999999</c:v>
              </c:pt>
              <c:pt idx="2632">
                <c:v>0.10532900000000001</c:v>
              </c:pt>
              <c:pt idx="2633">
                <c:v>0.105369</c:v>
              </c:pt>
              <c:pt idx="2634">
                <c:v>0.105409</c:v>
              </c:pt>
              <c:pt idx="2635">
                <c:v>0.105449</c:v>
              </c:pt>
              <c:pt idx="2636">
                <c:v>0.105489</c:v>
              </c:pt>
              <c:pt idx="2637">
                <c:v>0.105529</c:v>
              </c:pt>
              <c:pt idx="2638">
                <c:v>0.105569</c:v>
              </c:pt>
              <c:pt idx="2639">
                <c:v>0.10560899999999999</c:v>
              </c:pt>
              <c:pt idx="2640">
                <c:v>0.10564900000000001</c:v>
              </c:pt>
              <c:pt idx="2641">
                <c:v>0.10568900000000001</c:v>
              </c:pt>
              <c:pt idx="2642">
                <c:v>0.105729</c:v>
              </c:pt>
              <c:pt idx="2643">
                <c:v>0.105769</c:v>
              </c:pt>
              <c:pt idx="2644">
                <c:v>0.105809</c:v>
              </c:pt>
              <c:pt idx="2645">
                <c:v>0.105849</c:v>
              </c:pt>
              <c:pt idx="2646">
                <c:v>0.105889</c:v>
              </c:pt>
              <c:pt idx="2647">
                <c:v>0.105929</c:v>
              </c:pt>
              <c:pt idx="2648">
                <c:v>0.10596899999999999</c:v>
              </c:pt>
              <c:pt idx="2649">
                <c:v>0.10600900000000001</c:v>
              </c:pt>
              <c:pt idx="2650">
                <c:v>0.106049</c:v>
              </c:pt>
              <c:pt idx="2651">
                <c:v>0.106089</c:v>
              </c:pt>
              <c:pt idx="2652">
                <c:v>0.106129</c:v>
              </c:pt>
              <c:pt idx="2653">
                <c:v>0.106169</c:v>
              </c:pt>
              <c:pt idx="2654">
                <c:v>0.106209</c:v>
              </c:pt>
              <c:pt idx="2655">
                <c:v>0.106249</c:v>
              </c:pt>
              <c:pt idx="2656">
                <c:v>0.10628899999999999</c:v>
              </c:pt>
              <c:pt idx="2657">
                <c:v>0.10632900000000001</c:v>
              </c:pt>
              <c:pt idx="2658">
                <c:v>0.10636900000000001</c:v>
              </c:pt>
              <c:pt idx="2659">
                <c:v>0.106409</c:v>
              </c:pt>
              <c:pt idx="2660">
                <c:v>0.106449</c:v>
              </c:pt>
              <c:pt idx="2661">
                <c:v>0.106489</c:v>
              </c:pt>
              <c:pt idx="2662">
                <c:v>0.106529</c:v>
              </c:pt>
              <c:pt idx="2663">
                <c:v>0.106569</c:v>
              </c:pt>
              <c:pt idx="2664">
                <c:v>0.106609</c:v>
              </c:pt>
              <c:pt idx="2665">
                <c:v>0.10664899999999999</c:v>
              </c:pt>
              <c:pt idx="2666">
                <c:v>0.10668900000000001</c:v>
              </c:pt>
              <c:pt idx="2667">
                <c:v>0.106729</c:v>
              </c:pt>
              <c:pt idx="2668">
                <c:v>0.106769</c:v>
              </c:pt>
              <c:pt idx="2669">
                <c:v>0.106809</c:v>
              </c:pt>
              <c:pt idx="2670">
                <c:v>0.106849</c:v>
              </c:pt>
              <c:pt idx="2671">
                <c:v>0.106889</c:v>
              </c:pt>
              <c:pt idx="2672">
                <c:v>0.106929</c:v>
              </c:pt>
              <c:pt idx="2673">
                <c:v>0.10696899999999999</c:v>
              </c:pt>
              <c:pt idx="2674">
                <c:v>0.10700900000000001</c:v>
              </c:pt>
              <c:pt idx="2675">
                <c:v>0.10704900000000001</c:v>
              </c:pt>
              <c:pt idx="2676">
                <c:v>0.107089</c:v>
              </c:pt>
              <c:pt idx="2677">
                <c:v>0.107129</c:v>
              </c:pt>
              <c:pt idx="2678">
                <c:v>0.107169</c:v>
              </c:pt>
              <c:pt idx="2679">
                <c:v>0.107209</c:v>
              </c:pt>
              <c:pt idx="2680">
                <c:v>0.107249</c:v>
              </c:pt>
              <c:pt idx="2681">
                <c:v>0.107289</c:v>
              </c:pt>
              <c:pt idx="2682">
                <c:v>0.10732899999999999</c:v>
              </c:pt>
              <c:pt idx="2683">
                <c:v>0.10736900000000001</c:v>
              </c:pt>
              <c:pt idx="2684">
                <c:v>0.107409</c:v>
              </c:pt>
              <c:pt idx="2685">
                <c:v>0.107449</c:v>
              </c:pt>
              <c:pt idx="2686">
                <c:v>0.107489</c:v>
              </c:pt>
              <c:pt idx="2687">
                <c:v>0.107529</c:v>
              </c:pt>
              <c:pt idx="2688">
                <c:v>0.107569</c:v>
              </c:pt>
              <c:pt idx="2689">
                <c:v>0.107609</c:v>
              </c:pt>
              <c:pt idx="2690">
                <c:v>0.10764899999999999</c:v>
              </c:pt>
              <c:pt idx="2691">
                <c:v>0.10768900000000001</c:v>
              </c:pt>
              <c:pt idx="2692">
                <c:v>0.10772900000000001</c:v>
              </c:pt>
              <c:pt idx="2693">
                <c:v>0.107769</c:v>
              </c:pt>
              <c:pt idx="2694">
                <c:v>0.107809</c:v>
              </c:pt>
              <c:pt idx="2695">
                <c:v>0.107848</c:v>
              </c:pt>
              <c:pt idx="2696">
                <c:v>0.107888</c:v>
              </c:pt>
              <c:pt idx="2697">
                <c:v>0.107928</c:v>
              </c:pt>
              <c:pt idx="2698">
                <c:v>0.10796799999999999</c:v>
              </c:pt>
              <c:pt idx="2699">
                <c:v>0.10800800000000001</c:v>
              </c:pt>
              <c:pt idx="2700">
                <c:v>0.10804800000000001</c:v>
              </c:pt>
              <c:pt idx="2701">
                <c:v>0.108088</c:v>
              </c:pt>
              <c:pt idx="2702">
                <c:v>0.108128</c:v>
              </c:pt>
              <c:pt idx="2703">
                <c:v>0.108168</c:v>
              </c:pt>
              <c:pt idx="2704">
                <c:v>0.108208</c:v>
              </c:pt>
              <c:pt idx="2705">
                <c:v>0.108248</c:v>
              </c:pt>
              <c:pt idx="2706">
                <c:v>0.108288</c:v>
              </c:pt>
              <c:pt idx="2707">
                <c:v>0.10832799999999999</c:v>
              </c:pt>
              <c:pt idx="2708">
                <c:v>0.10836800000000001</c:v>
              </c:pt>
              <c:pt idx="2709">
                <c:v>0.108408</c:v>
              </c:pt>
              <c:pt idx="2710">
                <c:v>0.108448</c:v>
              </c:pt>
              <c:pt idx="2711">
                <c:v>0.108488</c:v>
              </c:pt>
              <c:pt idx="2712">
                <c:v>0.108528</c:v>
              </c:pt>
              <c:pt idx="2713">
                <c:v>0.108568</c:v>
              </c:pt>
              <c:pt idx="2714">
                <c:v>0.108608</c:v>
              </c:pt>
              <c:pt idx="2715">
                <c:v>0.10864799999999999</c:v>
              </c:pt>
              <c:pt idx="2716">
                <c:v>0.10868800000000001</c:v>
              </c:pt>
              <c:pt idx="2717">
                <c:v>0.10872800000000001</c:v>
              </c:pt>
              <c:pt idx="2718">
                <c:v>0.108768</c:v>
              </c:pt>
              <c:pt idx="2719">
                <c:v>0.108808</c:v>
              </c:pt>
              <c:pt idx="2720">
                <c:v>0.108848</c:v>
              </c:pt>
              <c:pt idx="2721">
                <c:v>0.108888</c:v>
              </c:pt>
              <c:pt idx="2722">
                <c:v>0.108928</c:v>
              </c:pt>
              <c:pt idx="2723">
                <c:v>0.108968</c:v>
              </c:pt>
              <c:pt idx="2724">
                <c:v>0.10900799999999999</c:v>
              </c:pt>
              <c:pt idx="2725">
                <c:v>0.10904800000000001</c:v>
              </c:pt>
              <c:pt idx="2726">
                <c:v>0.109088</c:v>
              </c:pt>
              <c:pt idx="2727">
                <c:v>0.109128</c:v>
              </c:pt>
              <c:pt idx="2728">
                <c:v>0.109168</c:v>
              </c:pt>
              <c:pt idx="2729">
                <c:v>0.109208</c:v>
              </c:pt>
              <c:pt idx="2730">
                <c:v>0.109248</c:v>
              </c:pt>
              <c:pt idx="2731">
                <c:v>0.109288</c:v>
              </c:pt>
              <c:pt idx="2732">
                <c:v>0.10932799999999999</c:v>
              </c:pt>
              <c:pt idx="2733">
                <c:v>0.10936800000000001</c:v>
              </c:pt>
              <c:pt idx="2734">
                <c:v>0.10940800000000001</c:v>
              </c:pt>
              <c:pt idx="2735">
                <c:v>0.109448</c:v>
              </c:pt>
              <c:pt idx="2736">
                <c:v>0.109488</c:v>
              </c:pt>
              <c:pt idx="2737">
                <c:v>0.109528</c:v>
              </c:pt>
              <c:pt idx="2738">
                <c:v>0.109568</c:v>
              </c:pt>
              <c:pt idx="2739">
                <c:v>0.109608</c:v>
              </c:pt>
              <c:pt idx="2740">
                <c:v>0.109648</c:v>
              </c:pt>
              <c:pt idx="2741">
                <c:v>0.10968799999999999</c:v>
              </c:pt>
              <c:pt idx="2742">
                <c:v>0.10972800000000001</c:v>
              </c:pt>
              <c:pt idx="2743">
                <c:v>0.109768</c:v>
              </c:pt>
              <c:pt idx="2744">
                <c:v>0.109808</c:v>
              </c:pt>
              <c:pt idx="2745">
                <c:v>0.109848</c:v>
              </c:pt>
              <c:pt idx="2746">
                <c:v>0.109888</c:v>
              </c:pt>
              <c:pt idx="2747">
                <c:v>0.109928</c:v>
              </c:pt>
              <c:pt idx="2748">
                <c:v>0.109968</c:v>
              </c:pt>
              <c:pt idx="2749">
                <c:v>0.11000799999999999</c:v>
              </c:pt>
              <c:pt idx="2750">
                <c:v>0.11004800000000001</c:v>
              </c:pt>
              <c:pt idx="2751">
                <c:v>0.11008800000000001</c:v>
              </c:pt>
              <c:pt idx="2752">
                <c:v>0.110128</c:v>
              </c:pt>
              <c:pt idx="2753">
                <c:v>0.110168</c:v>
              </c:pt>
              <c:pt idx="2754">
                <c:v>0.110208</c:v>
              </c:pt>
              <c:pt idx="2755">
                <c:v>0.110248</c:v>
              </c:pt>
              <c:pt idx="2756">
                <c:v>0.110288</c:v>
              </c:pt>
              <c:pt idx="2757">
                <c:v>0.110328</c:v>
              </c:pt>
              <c:pt idx="2758">
                <c:v>0.11036799999999999</c:v>
              </c:pt>
              <c:pt idx="2759">
                <c:v>0.11040800000000001</c:v>
              </c:pt>
              <c:pt idx="2760">
                <c:v>0.110448</c:v>
              </c:pt>
              <c:pt idx="2761">
                <c:v>0.110488</c:v>
              </c:pt>
              <c:pt idx="2762">
                <c:v>0.110528</c:v>
              </c:pt>
              <c:pt idx="2763">
                <c:v>0.110568</c:v>
              </c:pt>
              <c:pt idx="2764">
                <c:v>0.110608</c:v>
              </c:pt>
              <c:pt idx="2765">
                <c:v>0.110648</c:v>
              </c:pt>
              <c:pt idx="2766">
                <c:v>0.11068799999999999</c:v>
              </c:pt>
              <c:pt idx="2767">
                <c:v>0.11072799999999999</c:v>
              </c:pt>
              <c:pt idx="2768">
                <c:v>0.11076800000000001</c:v>
              </c:pt>
              <c:pt idx="2769">
                <c:v>0.110808</c:v>
              </c:pt>
              <c:pt idx="2770">
                <c:v>0.110848</c:v>
              </c:pt>
              <c:pt idx="2771">
                <c:v>0.110888</c:v>
              </c:pt>
              <c:pt idx="2772">
                <c:v>0.110928</c:v>
              </c:pt>
              <c:pt idx="2773">
                <c:v>0.110968</c:v>
              </c:pt>
              <c:pt idx="2774">
                <c:v>0.111008</c:v>
              </c:pt>
              <c:pt idx="2775">
                <c:v>0.11104799999999999</c:v>
              </c:pt>
              <c:pt idx="2776">
                <c:v>0.11108800000000001</c:v>
              </c:pt>
              <c:pt idx="2777">
                <c:v>0.111128</c:v>
              </c:pt>
              <c:pt idx="2778">
                <c:v>0.111168</c:v>
              </c:pt>
              <c:pt idx="2779">
                <c:v>0.111208</c:v>
              </c:pt>
              <c:pt idx="2780">
                <c:v>0.111248</c:v>
              </c:pt>
              <c:pt idx="2781">
                <c:v>0.111288</c:v>
              </c:pt>
              <c:pt idx="2782">
                <c:v>0.111328</c:v>
              </c:pt>
              <c:pt idx="2783">
                <c:v>0.11136799999999999</c:v>
              </c:pt>
              <c:pt idx="2784">
                <c:v>0.11140799999999999</c:v>
              </c:pt>
              <c:pt idx="2785">
                <c:v>0.11144800000000001</c:v>
              </c:pt>
              <c:pt idx="2786">
                <c:v>0.111488</c:v>
              </c:pt>
              <c:pt idx="2787">
                <c:v>0.111528</c:v>
              </c:pt>
              <c:pt idx="2788">
                <c:v>0.111568</c:v>
              </c:pt>
              <c:pt idx="2789">
                <c:v>0.111608</c:v>
              </c:pt>
              <c:pt idx="2790">
                <c:v>0.111648</c:v>
              </c:pt>
              <c:pt idx="2791">
                <c:v>0.111688</c:v>
              </c:pt>
              <c:pt idx="2792">
                <c:v>0.11172799999999999</c:v>
              </c:pt>
              <c:pt idx="2793">
                <c:v>0.11176800000000001</c:v>
              </c:pt>
              <c:pt idx="2794">
                <c:v>0.111808</c:v>
              </c:pt>
              <c:pt idx="2795">
                <c:v>0.111848</c:v>
              </c:pt>
              <c:pt idx="2796">
                <c:v>0.111888</c:v>
              </c:pt>
              <c:pt idx="2797">
                <c:v>0.111928</c:v>
              </c:pt>
              <c:pt idx="2798">
                <c:v>0.111968</c:v>
              </c:pt>
              <c:pt idx="2799">
                <c:v>0.112008</c:v>
              </c:pt>
              <c:pt idx="2800">
                <c:v>0.11204799999999999</c:v>
              </c:pt>
              <c:pt idx="2801">
                <c:v>0.11208799999999999</c:v>
              </c:pt>
              <c:pt idx="2802">
                <c:v>0.11212800000000001</c:v>
              </c:pt>
              <c:pt idx="2803">
                <c:v>0.112168</c:v>
              </c:pt>
              <c:pt idx="2804">
                <c:v>0.112208</c:v>
              </c:pt>
              <c:pt idx="2805">
                <c:v>0.112248</c:v>
              </c:pt>
              <c:pt idx="2806">
                <c:v>0.112288</c:v>
              </c:pt>
              <c:pt idx="2807">
                <c:v>0.112328</c:v>
              </c:pt>
              <c:pt idx="2808">
                <c:v>0.112368</c:v>
              </c:pt>
              <c:pt idx="2809">
                <c:v>0.11240799999999999</c:v>
              </c:pt>
              <c:pt idx="2810">
                <c:v>0.11244800000000001</c:v>
              </c:pt>
              <c:pt idx="2811">
                <c:v>0.112488</c:v>
              </c:pt>
              <c:pt idx="2812">
                <c:v>0.112528</c:v>
              </c:pt>
              <c:pt idx="2813">
                <c:v>0.112568</c:v>
              </c:pt>
              <c:pt idx="2814">
                <c:v>0.112608</c:v>
              </c:pt>
              <c:pt idx="2815">
                <c:v>0.112648</c:v>
              </c:pt>
              <c:pt idx="2816">
                <c:v>0.112688</c:v>
              </c:pt>
              <c:pt idx="2817">
                <c:v>0.11272799999999999</c:v>
              </c:pt>
              <c:pt idx="2818">
                <c:v>0.11276799999999999</c:v>
              </c:pt>
              <c:pt idx="2819">
                <c:v>0.11280800000000001</c:v>
              </c:pt>
              <c:pt idx="2820">
                <c:v>0.112848</c:v>
              </c:pt>
              <c:pt idx="2821">
                <c:v>0.112888</c:v>
              </c:pt>
              <c:pt idx="2822">
                <c:v>0.112928</c:v>
              </c:pt>
              <c:pt idx="2823">
                <c:v>0.112968</c:v>
              </c:pt>
              <c:pt idx="2824">
                <c:v>0.113008</c:v>
              </c:pt>
              <c:pt idx="2825">
                <c:v>0.113048</c:v>
              </c:pt>
              <c:pt idx="2826">
                <c:v>0.11308799999999999</c:v>
              </c:pt>
              <c:pt idx="2827">
                <c:v>0.11312800000000001</c:v>
              </c:pt>
              <c:pt idx="2828">
                <c:v>0.113168</c:v>
              </c:pt>
              <c:pt idx="2829">
                <c:v>0.113208</c:v>
              </c:pt>
              <c:pt idx="2830">
                <c:v>0.113248</c:v>
              </c:pt>
              <c:pt idx="2831">
                <c:v>0.113288</c:v>
              </c:pt>
              <c:pt idx="2832">
                <c:v>0.113328</c:v>
              </c:pt>
              <c:pt idx="2833">
                <c:v>0.113368</c:v>
              </c:pt>
              <c:pt idx="2834">
                <c:v>0.11340799999999999</c:v>
              </c:pt>
              <c:pt idx="2835">
                <c:v>0.11344799999999999</c:v>
              </c:pt>
              <c:pt idx="2836">
                <c:v>0.11348800000000001</c:v>
              </c:pt>
              <c:pt idx="2837">
                <c:v>0.113528</c:v>
              </c:pt>
              <c:pt idx="2838">
                <c:v>0.113568</c:v>
              </c:pt>
              <c:pt idx="2839">
                <c:v>0.113608</c:v>
              </c:pt>
              <c:pt idx="2840">
                <c:v>0.113648</c:v>
              </c:pt>
              <c:pt idx="2841">
                <c:v>0.113688</c:v>
              </c:pt>
              <c:pt idx="2842">
                <c:v>0.113728</c:v>
              </c:pt>
              <c:pt idx="2843">
                <c:v>0.11376799999999999</c:v>
              </c:pt>
              <c:pt idx="2844">
                <c:v>0.11380800000000001</c:v>
              </c:pt>
              <c:pt idx="2845">
                <c:v>0.113848</c:v>
              </c:pt>
              <c:pt idx="2846">
                <c:v>0.113888</c:v>
              </c:pt>
              <c:pt idx="2847">
                <c:v>0.113928</c:v>
              </c:pt>
              <c:pt idx="2848">
                <c:v>0.113968</c:v>
              </c:pt>
              <c:pt idx="2849">
                <c:v>0.114008</c:v>
              </c:pt>
              <c:pt idx="2850">
                <c:v>0.114048</c:v>
              </c:pt>
              <c:pt idx="2851">
                <c:v>0.11408799999999999</c:v>
              </c:pt>
              <c:pt idx="2852">
                <c:v>0.11412799999999999</c:v>
              </c:pt>
              <c:pt idx="2853">
                <c:v>0.11416800000000001</c:v>
              </c:pt>
              <c:pt idx="2854">
                <c:v>0.114208</c:v>
              </c:pt>
              <c:pt idx="2855">
                <c:v>0.114248</c:v>
              </c:pt>
              <c:pt idx="2856">
                <c:v>0.114288</c:v>
              </c:pt>
              <c:pt idx="2857">
                <c:v>0.114328</c:v>
              </c:pt>
              <c:pt idx="2858">
                <c:v>0.114368</c:v>
              </c:pt>
              <c:pt idx="2859">
                <c:v>0.114408</c:v>
              </c:pt>
              <c:pt idx="2860">
                <c:v>0.11444799999999999</c:v>
              </c:pt>
              <c:pt idx="2861">
                <c:v>0.11448800000000001</c:v>
              </c:pt>
              <c:pt idx="2862">
                <c:v>0.114528</c:v>
              </c:pt>
              <c:pt idx="2863">
                <c:v>0.114568</c:v>
              </c:pt>
              <c:pt idx="2864">
                <c:v>0.114608</c:v>
              </c:pt>
              <c:pt idx="2865">
                <c:v>0.114648</c:v>
              </c:pt>
              <c:pt idx="2866">
                <c:v>0.114688</c:v>
              </c:pt>
              <c:pt idx="2867">
                <c:v>0.114728</c:v>
              </c:pt>
              <c:pt idx="2868">
                <c:v>0.114768</c:v>
              </c:pt>
              <c:pt idx="2869">
                <c:v>0.11480799999999999</c:v>
              </c:pt>
              <c:pt idx="2870">
                <c:v>0.11484800000000001</c:v>
              </c:pt>
              <c:pt idx="2871">
                <c:v>0.114888</c:v>
              </c:pt>
              <c:pt idx="2872">
                <c:v>0.114928</c:v>
              </c:pt>
              <c:pt idx="2873">
                <c:v>0.114968</c:v>
              </c:pt>
              <c:pt idx="2874">
                <c:v>0.115008</c:v>
              </c:pt>
              <c:pt idx="2875">
                <c:v>0.115048</c:v>
              </c:pt>
              <c:pt idx="2876">
                <c:v>0.115088</c:v>
              </c:pt>
              <c:pt idx="2877">
                <c:v>0.11512799999999999</c:v>
              </c:pt>
              <c:pt idx="2878">
                <c:v>0.11516800000000001</c:v>
              </c:pt>
              <c:pt idx="2879">
                <c:v>0.115208</c:v>
              </c:pt>
              <c:pt idx="2880">
                <c:v>0.115248</c:v>
              </c:pt>
              <c:pt idx="2881">
                <c:v>0.115288</c:v>
              </c:pt>
              <c:pt idx="2882">
                <c:v>0.115328</c:v>
              </c:pt>
              <c:pt idx="2883">
                <c:v>0.115368</c:v>
              </c:pt>
              <c:pt idx="2884">
                <c:v>0.115408</c:v>
              </c:pt>
              <c:pt idx="2885">
                <c:v>0.115448</c:v>
              </c:pt>
              <c:pt idx="2886">
                <c:v>0.11548799999999999</c:v>
              </c:pt>
              <c:pt idx="2887">
                <c:v>0.11552800000000001</c:v>
              </c:pt>
              <c:pt idx="2888">
                <c:v>0.115568</c:v>
              </c:pt>
              <c:pt idx="2889">
                <c:v>0.115608</c:v>
              </c:pt>
              <c:pt idx="2890">
                <c:v>0.115648</c:v>
              </c:pt>
              <c:pt idx="2891">
                <c:v>0.115688</c:v>
              </c:pt>
              <c:pt idx="2892">
                <c:v>0.115728</c:v>
              </c:pt>
              <c:pt idx="2893">
                <c:v>0.115768</c:v>
              </c:pt>
              <c:pt idx="2894">
                <c:v>0.11580799999999999</c:v>
              </c:pt>
              <c:pt idx="2895">
                <c:v>0.11584800000000001</c:v>
              </c:pt>
              <c:pt idx="2896">
                <c:v>0.115888</c:v>
              </c:pt>
              <c:pt idx="2897">
                <c:v>0.115928</c:v>
              </c:pt>
              <c:pt idx="2898">
                <c:v>0.115968</c:v>
              </c:pt>
              <c:pt idx="2899">
                <c:v>0.116008</c:v>
              </c:pt>
              <c:pt idx="2900">
                <c:v>0.116048</c:v>
              </c:pt>
              <c:pt idx="2901">
                <c:v>0.116088</c:v>
              </c:pt>
              <c:pt idx="2902">
                <c:v>0.116128</c:v>
              </c:pt>
              <c:pt idx="2903">
                <c:v>0.11616799999999999</c:v>
              </c:pt>
              <c:pt idx="2904">
                <c:v>0.11620800000000001</c:v>
              </c:pt>
              <c:pt idx="2905">
                <c:v>0.116248</c:v>
              </c:pt>
              <c:pt idx="2906">
                <c:v>0.116288</c:v>
              </c:pt>
              <c:pt idx="2907">
                <c:v>0.116328</c:v>
              </c:pt>
              <c:pt idx="2908">
                <c:v>0.116368</c:v>
              </c:pt>
              <c:pt idx="2909">
                <c:v>0.116408</c:v>
              </c:pt>
              <c:pt idx="2910">
                <c:v>0.116448</c:v>
              </c:pt>
              <c:pt idx="2911">
                <c:v>0.11648799999999999</c:v>
              </c:pt>
              <c:pt idx="2912">
                <c:v>0.11652800000000001</c:v>
              </c:pt>
              <c:pt idx="2913">
                <c:v>0.116568</c:v>
              </c:pt>
              <c:pt idx="2914">
                <c:v>0.116608</c:v>
              </c:pt>
              <c:pt idx="2915">
                <c:v>0.116648</c:v>
              </c:pt>
              <c:pt idx="2916">
                <c:v>0.116688</c:v>
              </c:pt>
              <c:pt idx="2917">
                <c:v>0.116728</c:v>
              </c:pt>
              <c:pt idx="2918">
                <c:v>0.116768</c:v>
              </c:pt>
              <c:pt idx="2919">
                <c:v>0.116808</c:v>
              </c:pt>
              <c:pt idx="2920">
                <c:v>0.11684799999999999</c:v>
              </c:pt>
              <c:pt idx="2921">
                <c:v>0.11688800000000001</c:v>
              </c:pt>
              <c:pt idx="2922">
                <c:v>0.116928</c:v>
              </c:pt>
              <c:pt idx="2923">
                <c:v>0.116968</c:v>
              </c:pt>
              <c:pt idx="2924">
                <c:v>0.117008</c:v>
              </c:pt>
              <c:pt idx="2925">
                <c:v>0.117048</c:v>
              </c:pt>
              <c:pt idx="2926">
                <c:v>0.117088</c:v>
              </c:pt>
              <c:pt idx="2927">
                <c:v>0.117128</c:v>
              </c:pt>
              <c:pt idx="2928">
                <c:v>0.11716799999999999</c:v>
              </c:pt>
              <c:pt idx="2929">
                <c:v>0.11720800000000001</c:v>
              </c:pt>
              <c:pt idx="2930">
                <c:v>0.117248</c:v>
              </c:pt>
              <c:pt idx="2931">
                <c:v>0.117288</c:v>
              </c:pt>
              <c:pt idx="2932">
                <c:v>0.117328</c:v>
              </c:pt>
              <c:pt idx="2933">
                <c:v>0.117368</c:v>
              </c:pt>
              <c:pt idx="2934">
                <c:v>0.117408</c:v>
              </c:pt>
              <c:pt idx="2935">
                <c:v>0.117448</c:v>
              </c:pt>
              <c:pt idx="2936">
                <c:v>0.117488</c:v>
              </c:pt>
              <c:pt idx="2937">
                <c:v>0.11752799999999999</c:v>
              </c:pt>
              <c:pt idx="2938">
                <c:v>0.11756800000000001</c:v>
              </c:pt>
              <c:pt idx="2939">
                <c:v>0.117608</c:v>
              </c:pt>
              <c:pt idx="2940">
                <c:v>0.117648</c:v>
              </c:pt>
              <c:pt idx="2941">
                <c:v>0.117688</c:v>
              </c:pt>
              <c:pt idx="2942">
                <c:v>0.117728</c:v>
              </c:pt>
              <c:pt idx="2943">
                <c:v>0.117768</c:v>
              </c:pt>
              <c:pt idx="2944">
                <c:v>0.117808</c:v>
              </c:pt>
              <c:pt idx="2945">
                <c:v>0.11784799999999999</c:v>
              </c:pt>
              <c:pt idx="2946">
                <c:v>0.11788800000000001</c:v>
              </c:pt>
              <c:pt idx="2947">
                <c:v>0.11792800000000001</c:v>
              </c:pt>
              <c:pt idx="2948">
                <c:v>0.117968</c:v>
              </c:pt>
              <c:pt idx="2949">
                <c:v>0.118008</c:v>
              </c:pt>
              <c:pt idx="2950">
                <c:v>0.118048</c:v>
              </c:pt>
              <c:pt idx="2951">
                <c:v>0.118088</c:v>
              </c:pt>
              <c:pt idx="2952">
                <c:v>0.118128</c:v>
              </c:pt>
              <c:pt idx="2953">
                <c:v>0.118168</c:v>
              </c:pt>
              <c:pt idx="2954">
                <c:v>0.11820799999999999</c:v>
              </c:pt>
              <c:pt idx="2955">
                <c:v>0.11824800000000001</c:v>
              </c:pt>
              <c:pt idx="2956">
                <c:v>0.118288</c:v>
              </c:pt>
              <c:pt idx="2957">
                <c:v>0.118328</c:v>
              </c:pt>
              <c:pt idx="2958">
                <c:v>0.118368</c:v>
              </c:pt>
              <c:pt idx="2959">
                <c:v>0.118408</c:v>
              </c:pt>
              <c:pt idx="2960">
                <c:v>0.118448</c:v>
              </c:pt>
              <c:pt idx="2961">
                <c:v>0.118488</c:v>
              </c:pt>
              <c:pt idx="2962">
                <c:v>0.11852799999999999</c:v>
              </c:pt>
              <c:pt idx="2963">
                <c:v>0.11856800000000001</c:v>
              </c:pt>
              <c:pt idx="2964">
                <c:v>0.11860800000000001</c:v>
              </c:pt>
              <c:pt idx="2965">
                <c:v>0.118648</c:v>
              </c:pt>
              <c:pt idx="2966">
                <c:v>0.118688</c:v>
              </c:pt>
              <c:pt idx="2967">
                <c:v>0.118728</c:v>
              </c:pt>
              <c:pt idx="2968">
                <c:v>0.118768</c:v>
              </c:pt>
              <c:pt idx="2969">
                <c:v>0.118808</c:v>
              </c:pt>
              <c:pt idx="2970">
                <c:v>0.118848</c:v>
              </c:pt>
              <c:pt idx="2971">
                <c:v>0.11888799999999999</c:v>
              </c:pt>
              <c:pt idx="2972">
                <c:v>0.11892800000000001</c:v>
              </c:pt>
              <c:pt idx="2973">
                <c:v>0.118968</c:v>
              </c:pt>
              <c:pt idx="2974">
                <c:v>0.119008</c:v>
              </c:pt>
              <c:pt idx="2975">
                <c:v>0.119048</c:v>
              </c:pt>
              <c:pt idx="2976">
                <c:v>0.119088</c:v>
              </c:pt>
              <c:pt idx="2977">
                <c:v>0.119128</c:v>
              </c:pt>
              <c:pt idx="2978">
                <c:v>0.119168</c:v>
              </c:pt>
              <c:pt idx="2979">
                <c:v>0.11920799999999999</c:v>
              </c:pt>
              <c:pt idx="2980">
                <c:v>0.11924800000000001</c:v>
              </c:pt>
              <c:pt idx="2981">
                <c:v>0.11928800000000001</c:v>
              </c:pt>
              <c:pt idx="2982">
                <c:v>0.119328</c:v>
              </c:pt>
              <c:pt idx="2983">
                <c:v>0.119368</c:v>
              </c:pt>
              <c:pt idx="2984">
                <c:v>0.119408</c:v>
              </c:pt>
              <c:pt idx="2985">
                <c:v>0.119448</c:v>
              </c:pt>
              <c:pt idx="2986">
                <c:v>0.119488</c:v>
              </c:pt>
              <c:pt idx="2987">
                <c:v>0.119528</c:v>
              </c:pt>
              <c:pt idx="2988">
                <c:v>0.11956799999999999</c:v>
              </c:pt>
              <c:pt idx="2989">
                <c:v>0.11960800000000001</c:v>
              </c:pt>
              <c:pt idx="2990">
                <c:v>0.119648</c:v>
              </c:pt>
              <c:pt idx="2991">
                <c:v>0.119688</c:v>
              </c:pt>
              <c:pt idx="2992">
                <c:v>0.119728</c:v>
              </c:pt>
              <c:pt idx="2993">
                <c:v>0.119768</c:v>
              </c:pt>
              <c:pt idx="2994">
                <c:v>0.119808</c:v>
              </c:pt>
              <c:pt idx="2995">
                <c:v>0.119848</c:v>
              </c:pt>
              <c:pt idx="2996">
                <c:v>0.11988799999999999</c:v>
              </c:pt>
              <c:pt idx="2997">
                <c:v>0.11992800000000001</c:v>
              </c:pt>
              <c:pt idx="2998">
                <c:v>0.11996800000000001</c:v>
              </c:pt>
              <c:pt idx="2999">
                <c:v>0.120008</c:v>
              </c:pt>
              <c:pt idx="3000">
                <c:v>0.120048</c:v>
              </c:pt>
              <c:pt idx="3001">
                <c:v>0.120088</c:v>
              </c:pt>
              <c:pt idx="3002">
                <c:v>0.120128</c:v>
              </c:pt>
              <c:pt idx="3003">
                <c:v>0.120168</c:v>
              </c:pt>
              <c:pt idx="3004">
                <c:v>0.120208</c:v>
              </c:pt>
              <c:pt idx="3005">
                <c:v>0.12024799999999999</c:v>
              </c:pt>
              <c:pt idx="3006">
                <c:v>0.12028800000000001</c:v>
              </c:pt>
              <c:pt idx="3007">
                <c:v>0.120328</c:v>
              </c:pt>
              <c:pt idx="3008">
                <c:v>0.120368</c:v>
              </c:pt>
              <c:pt idx="3009">
                <c:v>0.120408</c:v>
              </c:pt>
              <c:pt idx="3010">
                <c:v>0.120448</c:v>
              </c:pt>
              <c:pt idx="3011">
                <c:v>0.120488</c:v>
              </c:pt>
              <c:pt idx="3012">
                <c:v>0.120528</c:v>
              </c:pt>
              <c:pt idx="3013">
                <c:v>0.12056799999999999</c:v>
              </c:pt>
              <c:pt idx="3014">
                <c:v>0.12060800000000001</c:v>
              </c:pt>
              <c:pt idx="3015">
                <c:v>0.12064800000000001</c:v>
              </c:pt>
              <c:pt idx="3016">
                <c:v>0.120688</c:v>
              </c:pt>
              <c:pt idx="3017">
                <c:v>0.120728</c:v>
              </c:pt>
              <c:pt idx="3018">
                <c:v>0.120768</c:v>
              </c:pt>
              <c:pt idx="3019">
                <c:v>0.120808</c:v>
              </c:pt>
              <c:pt idx="3020">
                <c:v>0.120848</c:v>
              </c:pt>
              <c:pt idx="3021">
                <c:v>0.120888</c:v>
              </c:pt>
              <c:pt idx="3022">
                <c:v>0.12092799999999999</c:v>
              </c:pt>
              <c:pt idx="3023">
                <c:v>0.12096800000000001</c:v>
              </c:pt>
              <c:pt idx="3024">
                <c:v>0.121008</c:v>
              </c:pt>
              <c:pt idx="3025">
                <c:v>0.121048</c:v>
              </c:pt>
              <c:pt idx="3026">
                <c:v>0.121088</c:v>
              </c:pt>
              <c:pt idx="3027">
                <c:v>0.121128</c:v>
              </c:pt>
              <c:pt idx="3028">
                <c:v>0.121168</c:v>
              </c:pt>
              <c:pt idx="3029">
                <c:v>0.121208</c:v>
              </c:pt>
              <c:pt idx="3030">
                <c:v>0.12124799999999999</c:v>
              </c:pt>
              <c:pt idx="3031">
                <c:v>0.12128800000000001</c:v>
              </c:pt>
              <c:pt idx="3032">
                <c:v>0.12132800000000001</c:v>
              </c:pt>
              <c:pt idx="3033">
                <c:v>0.121368</c:v>
              </c:pt>
              <c:pt idx="3034">
                <c:v>0.121408</c:v>
              </c:pt>
              <c:pt idx="3035">
                <c:v>0.121448</c:v>
              </c:pt>
              <c:pt idx="3036">
                <c:v>0.121488</c:v>
              </c:pt>
              <c:pt idx="3037">
                <c:v>0.121528</c:v>
              </c:pt>
              <c:pt idx="3038">
                <c:v>0.121568</c:v>
              </c:pt>
              <c:pt idx="3039">
                <c:v>0.12160799999999999</c:v>
              </c:pt>
              <c:pt idx="3040">
                <c:v>0.12164800000000001</c:v>
              </c:pt>
              <c:pt idx="3041">
                <c:v>0.121688</c:v>
              </c:pt>
              <c:pt idx="3042">
                <c:v>0.121728</c:v>
              </c:pt>
              <c:pt idx="3043">
                <c:v>0.121768</c:v>
              </c:pt>
              <c:pt idx="3044">
                <c:v>0.121808</c:v>
              </c:pt>
              <c:pt idx="3045">
                <c:v>0.121848</c:v>
              </c:pt>
              <c:pt idx="3046">
                <c:v>0.121888</c:v>
              </c:pt>
              <c:pt idx="3047">
                <c:v>0.12192799999999999</c:v>
              </c:pt>
              <c:pt idx="3048">
                <c:v>0.12196799999999999</c:v>
              </c:pt>
              <c:pt idx="3049">
                <c:v>0.12200800000000001</c:v>
              </c:pt>
              <c:pt idx="3050">
                <c:v>0.122048</c:v>
              </c:pt>
              <c:pt idx="3051">
                <c:v>0.122088</c:v>
              </c:pt>
              <c:pt idx="3052">
                <c:v>0.122128</c:v>
              </c:pt>
              <c:pt idx="3053">
                <c:v>0.122168</c:v>
              </c:pt>
              <c:pt idx="3054">
                <c:v>0.122208</c:v>
              </c:pt>
              <c:pt idx="3055">
                <c:v>0.122248</c:v>
              </c:pt>
              <c:pt idx="3056">
                <c:v>0.12228799999999999</c:v>
              </c:pt>
              <c:pt idx="3057">
                <c:v>0.12232800000000001</c:v>
              </c:pt>
              <c:pt idx="3058">
                <c:v>0.122368</c:v>
              </c:pt>
              <c:pt idx="3059">
                <c:v>0.122408</c:v>
              </c:pt>
              <c:pt idx="3060">
                <c:v>0.122448</c:v>
              </c:pt>
              <c:pt idx="3061">
                <c:v>0.122488</c:v>
              </c:pt>
              <c:pt idx="3062">
                <c:v>0.122528</c:v>
              </c:pt>
              <c:pt idx="3063">
                <c:v>0.122568</c:v>
              </c:pt>
              <c:pt idx="3064">
                <c:v>0.12260799999999999</c:v>
              </c:pt>
              <c:pt idx="3065">
                <c:v>0.12264799999999999</c:v>
              </c:pt>
              <c:pt idx="3066">
                <c:v>0.12268800000000001</c:v>
              </c:pt>
              <c:pt idx="3067">
                <c:v>0.122728</c:v>
              </c:pt>
              <c:pt idx="3068">
                <c:v>0.122768</c:v>
              </c:pt>
              <c:pt idx="3069">
                <c:v>0.122808</c:v>
              </c:pt>
              <c:pt idx="3070">
                <c:v>0.122848</c:v>
              </c:pt>
              <c:pt idx="3071">
                <c:v>0.122888</c:v>
              </c:pt>
              <c:pt idx="3072">
                <c:v>0.122928</c:v>
              </c:pt>
              <c:pt idx="3073">
                <c:v>0.12296799999999999</c:v>
              </c:pt>
              <c:pt idx="3074">
                <c:v>0.12300800000000001</c:v>
              </c:pt>
              <c:pt idx="3075">
                <c:v>0.123048</c:v>
              </c:pt>
              <c:pt idx="3076">
                <c:v>0.123088</c:v>
              </c:pt>
              <c:pt idx="3077">
                <c:v>0.123128</c:v>
              </c:pt>
              <c:pt idx="3078">
                <c:v>0.123168</c:v>
              </c:pt>
              <c:pt idx="3079">
                <c:v>0.123208</c:v>
              </c:pt>
              <c:pt idx="3080">
                <c:v>0.123248</c:v>
              </c:pt>
              <c:pt idx="3081">
                <c:v>0.12328799999999999</c:v>
              </c:pt>
              <c:pt idx="3082">
                <c:v>0.12332799999999999</c:v>
              </c:pt>
              <c:pt idx="3083">
                <c:v>0.12336800000000001</c:v>
              </c:pt>
              <c:pt idx="3084">
                <c:v>0.123408</c:v>
              </c:pt>
              <c:pt idx="3085">
                <c:v>0.123448</c:v>
              </c:pt>
              <c:pt idx="3086">
                <c:v>0.123488</c:v>
              </c:pt>
              <c:pt idx="3087">
                <c:v>0.123528</c:v>
              </c:pt>
              <c:pt idx="3088">
                <c:v>0.123568</c:v>
              </c:pt>
              <c:pt idx="3089">
                <c:v>0.123608</c:v>
              </c:pt>
              <c:pt idx="3090">
                <c:v>0.12364799999999999</c:v>
              </c:pt>
              <c:pt idx="3091">
                <c:v>0.12368800000000001</c:v>
              </c:pt>
              <c:pt idx="3092">
                <c:v>0.123728</c:v>
              </c:pt>
              <c:pt idx="3093">
                <c:v>0.123768</c:v>
              </c:pt>
              <c:pt idx="3094">
                <c:v>0.123808</c:v>
              </c:pt>
              <c:pt idx="3095">
                <c:v>0.123848</c:v>
              </c:pt>
              <c:pt idx="3096">
                <c:v>0.123888</c:v>
              </c:pt>
              <c:pt idx="3097">
                <c:v>0.123928</c:v>
              </c:pt>
              <c:pt idx="3098">
                <c:v>0.12396799999999999</c:v>
              </c:pt>
              <c:pt idx="3099">
                <c:v>0.12400799999999999</c:v>
              </c:pt>
              <c:pt idx="3100">
                <c:v>0.12404800000000001</c:v>
              </c:pt>
              <c:pt idx="3101">
                <c:v>0.124088</c:v>
              </c:pt>
              <c:pt idx="3102">
                <c:v>0.124128</c:v>
              </c:pt>
              <c:pt idx="3103">
                <c:v>0.124168</c:v>
              </c:pt>
              <c:pt idx="3104">
                <c:v>0.124208</c:v>
              </c:pt>
              <c:pt idx="3105">
                <c:v>0.124248</c:v>
              </c:pt>
              <c:pt idx="3106">
                <c:v>0.124288</c:v>
              </c:pt>
              <c:pt idx="3107">
                <c:v>0.12432799999999999</c:v>
              </c:pt>
              <c:pt idx="3108">
                <c:v>0.12436800000000001</c:v>
              </c:pt>
              <c:pt idx="3109">
                <c:v>0.124408</c:v>
              </c:pt>
              <c:pt idx="3110">
                <c:v>0.124448</c:v>
              </c:pt>
              <c:pt idx="3111">
                <c:v>0.124488</c:v>
              </c:pt>
              <c:pt idx="3112">
                <c:v>0.124528</c:v>
              </c:pt>
              <c:pt idx="3113">
                <c:v>0.124568</c:v>
              </c:pt>
              <c:pt idx="3114">
                <c:v>0.124608</c:v>
              </c:pt>
              <c:pt idx="3115">
                <c:v>0.12464799999999999</c:v>
              </c:pt>
              <c:pt idx="3116">
                <c:v>0.12468799999999999</c:v>
              </c:pt>
              <c:pt idx="3117">
                <c:v>0.12472800000000001</c:v>
              </c:pt>
              <c:pt idx="3118">
                <c:v>0.124768</c:v>
              </c:pt>
              <c:pt idx="3119">
                <c:v>0.124808</c:v>
              </c:pt>
              <c:pt idx="3120">
                <c:v>0.124848</c:v>
              </c:pt>
              <c:pt idx="3121">
                <c:v>0.124888</c:v>
              </c:pt>
              <c:pt idx="3122">
                <c:v>0.124928</c:v>
              </c:pt>
              <c:pt idx="3123">
                <c:v>0.124968</c:v>
              </c:pt>
              <c:pt idx="3124">
                <c:v>0.12500800000000001</c:v>
              </c:pt>
              <c:pt idx="3125">
                <c:v>0.12504799999999999</c:v>
              </c:pt>
              <c:pt idx="3126">
                <c:v>0.125088</c:v>
              </c:pt>
              <c:pt idx="3127">
                <c:v>0.12512799999999999</c:v>
              </c:pt>
              <c:pt idx="3128">
                <c:v>0.125168</c:v>
              </c:pt>
              <c:pt idx="3129">
                <c:v>0.12520800000000001</c:v>
              </c:pt>
              <c:pt idx="3130">
                <c:v>0.125248</c:v>
              </c:pt>
              <c:pt idx="3131">
                <c:v>0.12528800000000001</c:v>
              </c:pt>
              <c:pt idx="3132">
                <c:v>0.12532799999999999</c:v>
              </c:pt>
              <c:pt idx="3133">
                <c:v>0.12536800000000001</c:v>
              </c:pt>
              <c:pt idx="3134">
                <c:v>0.12540799999999999</c:v>
              </c:pt>
              <c:pt idx="3135">
                <c:v>0.125448</c:v>
              </c:pt>
              <c:pt idx="3136">
                <c:v>0.12548799999999999</c:v>
              </c:pt>
              <c:pt idx="3137">
                <c:v>0.125528</c:v>
              </c:pt>
              <c:pt idx="3138">
                <c:v>0.12556800000000001</c:v>
              </c:pt>
              <c:pt idx="3139">
                <c:v>0.125608</c:v>
              </c:pt>
              <c:pt idx="3140">
                <c:v>0.12564800000000001</c:v>
              </c:pt>
              <c:pt idx="3141">
                <c:v>0.12568799999999999</c:v>
              </c:pt>
              <c:pt idx="3142">
                <c:v>0.12572800000000001</c:v>
              </c:pt>
              <c:pt idx="3143">
                <c:v>0.12576799999999999</c:v>
              </c:pt>
              <c:pt idx="3144">
                <c:v>0.125808</c:v>
              </c:pt>
              <c:pt idx="3145">
                <c:v>0.12584799999999999</c:v>
              </c:pt>
              <c:pt idx="3146">
                <c:v>0.125888</c:v>
              </c:pt>
              <c:pt idx="3147">
                <c:v>0.12592800000000001</c:v>
              </c:pt>
              <c:pt idx="3148">
                <c:v>0.125968</c:v>
              </c:pt>
              <c:pt idx="3149">
                <c:v>0.12600800000000001</c:v>
              </c:pt>
              <c:pt idx="3150">
                <c:v>0.12604799999999999</c:v>
              </c:pt>
              <c:pt idx="3151">
                <c:v>0.12608800000000001</c:v>
              </c:pt>
              <c:pt idx="3152">
                <c:v>0.12612799999999999</c:v>
              </c:pt>
              <c:pt idx="3153">
                <c:v>0.126168</c:v>
              </c:pt>
              <c:pt idx="3154">
                <c:v>0.12620799999999999</c:v>
              </c:pt>
              <c:pt idx="3155">
                <c:v>0.126248</c:v>
              </c:pt>
              <c:pt idx="3156">
                <c:v>0.12628800000000001</c:v>
              </c:pt>
              <c:pt idx="3157">
                <c:v>0.126328</c:v>
              </c:pt>
              <c:pt idx="3158">
                <c:v>0.12636800000000001</c:v>
              </c:pt>
              <c:pt idx="3159">
                <c:v>0.12640799999999999</c:v>
              </c:pt>
              <c:pt idx="3160">
                <c:v>0.126448</c:v>
              </c:pt>
              <c:pt idx="3161">
                <c:v>0.12648799999999999</c:v>
              </c:pt>
              <c:pt idx="3162">
                <c:v>0.126528</c:v>
              </c:pt>
              <c:pt idx="3163">
                <c:v>0.12656800000000001</c:v>
              </c:pt>
              <c:pt idx="3164">
                <c:v>0.126608</c:v>
              </c:pt>
              <c:pt idx="3165">
                <c:v>0.12664800000000001</c:v>
              </c:pt>
              <c:pt idx="3166">
                <c:v>0.126688</c:v>
              </c:pt>
              <c:pt idx="3167">
                <c:v>0.12672800000000001</c:v>
              </c:pt>
              <c:pt idx="3168">
                <c:v>0.12676799999999999</c:v>
              </c:pt>
              <c:pt idx="3169">
                <c:v>0.126808</c:v>
              </c:pt>
              <c:pt idx="3170">
                <c:v>0.12684799999999999</c:v>
              </c:pt>
              <c:pt idx="3171">
                <c:v>0.126888</c:v>
              </c:pt>
              <c:pt idx="3172">
                <c:v>0.12692800000000001</c:v>
              </c:pt>
              <c:pt idx="3173">
                <c:v>0.126968</c:v>
              </c:pt>
              <c:pt idx="3174">
                <c:v>0.12700800000000001</c:v>
              </c:pt>
              <c:pt idx="3175">
                <c:v>0.12704799999999999</c:v>
              </c:pt>
              <c:pt idx="3176">
                <c:v>0.12708800000000001</c:v>
              </c:pt>
              <c:pt idx="3177">
                <c:v>0.12712799999999999</c:v>
              </c:pt>
              <c:pt idx="3178">
                <c:v>0.127168</c:v>
              </c:pt>
              <c:pt idx="3179">
                <c:v>0.12720799999999999</c:v>
              </c:pt>
              <c:pt idx="3180">
                <c:v>0.127248</c:v>
              </c:pt>
              <c:pt idx="3181">
                <c:v>0.12728800000000001</c:v>
              </c:pt>
              <c:pt idx="3182">
                <c:v>0.127328</c:v>
              </c:pt>
              <c:pt idx="3183">
                <c:v>0.12736800000000001</c:v>
              </c:pt>
              <c:pt idx="3184">
                <c:v>0.12740799999999999</c:v>
              </c:pt>
              <c:pt idx="3185">
                <c:v>0.12744800000000001</c:v>
              </c:pt>
              <c:pt idx="3186">
                <c:v>0.12748799999999999</c:v>
              </c:pt>
              <c:pt idx="3187">
                <c:v>0.127528</c:v>
              </c:pt>
              <c:pt idx="3188">
                <c:v>0.12756799999999999</c:v>
              </c:pt>
              <c:pt idx="3189">
                <c:v>0.127608</c:v>
              </c:pt>
              <c:pt idx="3190">
                <c:v>0.12764800000000001</c:v>
              </c:pt>
              <c:pt idx="3191">
                <c:v>0.127688</c:v>
              </c:pt>
              <c:pt idx="3192">
                <c:v>0.12772800000000001</c:v>
              </c:pt>
              <c:pt idx="3193">
                <c:v>0.12776799999999999</c:v>
              </c:pt>
              <c:pt idx="3194">
                <c:v>0.127808</c:v>
              </c:pt>
              <c:pt idx="3195">
                <c:v>0.12784799999999999</c:v>
              </c:pt>
              <c:pt idx="3196">
                <c:v>0.127888</c:v>
              </c:pt>
              <c:pt idx="3197">
                <c:v>0.12792799999999999</c:v>
              </c:pt>
              <c:pt idx="3198">
                <c:v>0.127968</c:v>
              </c:pt>
              <c:pt idx="3199">
                <c:v>0.12800800000000001</c:v>
              </c:pt>
              <c:pt idx="3200">
                <c:v>0.128048</c:v>
              </c:pt>
              <c:pt idx="3201">
                <c:v>0.12808800000000001</c:v>
              </c:pt>
              <c:pt idx="3202">
                <c:v>0.12812799999999999</c:v>
              </c:pt>
              <c:pt idx="3203">
                <c:v>0.128168</c:v>
              </c:pt>
              <c:pt idx="3204">
                <c:v>0.12820799999999999</c:v>
              </c:pt>
              <c:pt idx="3205">
                <c:v>0.128248</c:v>
              </c:pt>
              <c:pt idx="3206">
                <c:v>0.12828800000000001</c:v>
              </c:pt>
              <c:pt idx="3207">
                <c:v>0.128328</c:v>
              </c:pt>
              <c:pt idx="3208">
                <c:v>0.12836800000000001</c:v>
              </c:pt>
              <c:pt idx="3209">
                <c:v>0.12840799999999999</c:v>
              </c:pt>
              <c:pt idx="3210">
                <c:v>0.12844800000000001</c:v>
              </c:pt>
              <c:pt idx="3211">
                <c:v>0.12848799999999999</c:v>
              </c:pt>
              <c:pt idx="3212">
                <c:v>0.128528</c:v>
              </c:pt>
              <c:pt idx="3213">
                <c:v>0.12856799999999999</c:v>
              </c:pt>
              <c:pt idx="3214">
                <c:v>0.128608</c:v>
              </c:pt>
              <c:pt idx="3215">
                <c:v>0.12864800000000001</c:v>
              </c:pt>
              <c:pt idx="3216">
                <c:v>0.128688</c:v>
              </c:pt>
              <c:pt idx="3217">
                <c:v>0.12872800000000001</c:v>
              </c:pt>
              <c:pt idx="3218">
                <c:v>0.12876799999999999</c:v>
              </c:pt>
              <c:pt idx="3219">
                <c:v>0.12880800000000001</c:v>
              </c:pt>
              <c:pt idx="3220">
                <c:v>0.12884799999999999</c:v>
              </c:pt>
              <c:pt idx="3221">
                <c:v>0.128888</c:v>
              </c:pt>
              <c:pt idx="3222">
                <c:v>0.12892799999999999</c:v>
              </c:pt>
              <c:pt idx="3223">
                <c:v>0.128967</c:v>
              </c:pt>
              <c:pt idx="3224">
                <c:v>0.12900700000000001</c:v>
              </c:pt>
              <c:pt idx="3225">
                <c:v>0.129047</c:v>
              </c:pt>
              <c:pt idx="3226">
                <c:v>0.12908700000000001</c:v>
              </c:pt>
              <c:pt idx="3227">
                <c:v>0.12912699999999999</c:v>
              </c:pt>
              <c:pt idx="3228">
                <c:v>0.129167</c:v>
              </c:pt>
              <c:pt idx="3229">
                <c:v>0.12920699999999999</c:v>
              </c:pt>
              <c:pt idx="3230">
                <c:v>0.129247</c:v>
              </c:pt>
              <c:pt idx="3231">
                <c:v>0.12928700000000001</c:v>
              </c:pt>
              <c:pt idx="3232">
                <c:v>0.129327</c:v>
              </c:pt>
              <c:pt idx="3233">
                <c:v>0.12936700000000001</c:v>
              </c:pt>
              <c:pt idx="3234">
                <c:v>0.12940699999999999</c:v>
              </c:pt>
              <c:pt idx="3235">
                <c:v>0.12944700000000001</c:v>
              </c:pt>
              <c:pt idx="3236">
                <c:v>0.12948699999999999</c:v>
              </c:pt>
              <c:pt idx="3237">
                <c:v>0.129527</c:v>
              </c:pt>
              <c:pt idx="3238">
                <c:v>0.12956699999999999</c:v>
              </c:pt>
              <c:pt idx="3239">
                <c:v>0.129607</c:v>
              </c:pt>
              <c:pt idx="3240">
                <c:v>0.12964700000000001</c:v>
              </c:pt>
              <c:pt idx="3241">
                <c:v>0.129687</c:v>
              </c:pt>
              <c:pt idx="3242">
                <c:v>0.12972700000000001</c:v>
              </c:pt>
              <c:pt idx="3243">
                <c:v>0.12976699999999999</c:v>
              </c:pt>
              <c:pt idx="3244">
                <c:v>0.12980700000000001</c:v>
              </c:pt>
              <c:pt idx="3245">
                <c:v>0.12984699999999999</c:v>
              </c:pt>
              <c:pt idx="3246">
                <c:v>0.129887</c:v>
              </c:pt>
              <c:pt idx="3247">
                <c:v>0.12992699999999999</c:v>
              </c:pt>
              <c:pt idx="3248">
                <c:v>0.129967</c:v>
              </c:pt>
              <c:pt idx="3249">
                <c:v>0.13000700000000001</c:v>
              </c:pt>
              <c:pt idx="3250">
                <c:v>0.130047</c:v>
              </c:pt>
              <c:pt idx="3251">
                <c:v>0.13008700000000001</c:v>
              </c:pt>
              <c:pt idx="3252">
                <c:v>0.13012699999999999</c:v>
              </c:pt>
              <c:pt idx="3253">
                <c:v>0.130167</c:v>
              </c:pt>
              <c:pt idx="3254">
                <c:v>0.13020699999999999</c:v>
              </c:pt>
              <c:pt idx="3255">
                <c:v>0.130247</c:v>
              </c:pt>
              <c:pt idx="3256">
                <c:v>0.13028699999999999</c:v>
              </c:pt>
              <c:pt idx="3257">
                <c:v>0.130327</c:v>
              </c:pt>
              <c:pt idx="3258">
                <c:v>0.13036700000000001</c:v>
              </c:pt>
              <c:pt idx="3259">
                <c:v>0.130407</c:v>
              </c:pt>
              <c:pt idx="3260">
                <c:v>0.13044700000000001</c:v>
              </c:pt>
              <c:pt idx="3261">
                <c:v>0.13048699999999999</c:v>
              </c:pt>
              <c:pt idx="3262">
                <c:v>0.130527</c:v>
              </c:pt>
              <c:pt idx="3263">
                <c:v>0.13056699999999999</c:v>
              </c:pt>
              <c:pt idx="3264">
                <c:v>0.130607</c:v>
              </c:pt>
              <c:pt idx="3265">
                <c:v>0.13064700000000001</c:v>
              </c:pt>
              <c:pt idx="3266">
                <c:v>0.130687</c:v>
              </c:pt>
              <c:pt idx="3267">
                <c:v>0.13072700000000001</c:v>
              </c:pt>
              <c:pt idx="3268">
                <c:v>0.13076699999999999</c:v>
              </c:pt>
              <c:pt idx="3269">
                <c:v>0.13080700000000001</c:v>
              </c:pt>
              <c:pt idx="3270">
                <c:v>0.13084699999999999</c:v>
              </c:pt>
              <c:pt idx="3271">
                <c:v>0.130887</c:v>
              </c:pt>
              <c:pt idx="3272">
                <c:v>0.13092699999999999</c:v>
              </c:pt>
              <c:pt idx="3273">
                <c:v>0.130967</c:v>
              </c:pt>
              <c:pt idx="3274">
                <c:v>0.13100700000000001</c:v>
              </c:pt>
              <c:pt idx="3275">
                <c:v>0.131047</c:v>
              </c:pt>
              <c:pt idx="3276">
                <c:v>0.13108700000000001</c:v>
              </c:pt>
              <c:pt idx="3277">
                <c:v>0.13112699999999999</c:v>
              </c:pt>
              <c:pt idx="3278">
                <c:v>0.13116700000000001</c:v>
              </c:pt>
              <c:pt idx="3279">
                <c:v>0.13120699999999999</c:v>
              </c:pt>
              <c:pt idx="3280">
                <c:v>0.131247</c:v>
              </c:pt>
              <c:pt idx="3281">
                <c:v>0.13128699999999999</c:v>
              </c:pt>
              <c:pt idx="3282">
                <c:v>0.131327</c:v>
              </c:pt>
              <c:pt idx="3283">
                <c:v>0.13136700000000001</c:v>
              </c:pt>
              <c:pt idx="3284">
                <c:v>0.131407</c:v>
              </c:pt>
              <c:pt idx="3285">
                <c:v>0.13144700000000001</c:v>
              </c:pt>
              <c:pt idx="3286">
                <c:v>0.13148699999999999</c:v>
              </c:pt>
              <c:pt idx="3287">
                <c:v>0.13152700000000001</c:v>
              </c:pt>
              <c:pt idx="3288">
                <c:v>0.13156699999999999</c:v>
              </c:pt>
              <c:pt idx="3289">
                <c:v>0.131607</c:v>
              </c:pt>
              <c:pt idx="3290">
                <c:v>0.13164699999999999</c:v>
              </c:pt>
              <c:pt idx="3291">
                <c:v>0.131687</c:v>
              </c:pt>
              <c:pt idx="3292">
                <c:v>0.13172700000000001</c:v>
              </c:pt>
              <c:pt idx="3293">
                <c:v>0.131767</c:v>
              </c:pt>
              <c:pt idx="3294">
                <c:v>0.13180700000000001</c:v>
              </c:pt>
              <c:pt idx="3295">
                <c:v>0.13184699999999999</c:v>
              </c:pt>
              <c:pt idx="3296">
                <c:v>0.131887</c:v>
              </c:pt>
              <c:pt idx="3297">
                <c:v>0.13192699999999999</c:v>
              </c:pt>
              <c:pt idx="3298">
                <c:v>0.131967</c:v>
              </c:pt>
              <c:pt idx="3299">
                <c:v>0.13200700000000001</c:v>
              </c:pt>
              <c:pt idx="3300">
                <c:v>0.132047</c:v>
              </c:pt>
              <c:pt idx="3301">
                <c:v>0.13208700000000001</c:v>
              </c:pt>
              <c:pt idx="3302">
                <c:v>0.13212699999999999</c:v>
              </c:pt>
              <c:pt idx="3303">
                <c:v>0.13216700000000001</c:v>
              </c:pt>
              <c:pt idx="3304">
                <c:v>0.13220699999999999</c:v>
              </c:pt>
              <c:pt idx="3305">
                <c:v>0.132247</c:v>
              </c:pt>
              <c:pt idx="3306">
                <c:v>0.13228699999999999</c:v>
              </c:pt>
              <c:pt idx="3307">
                <c:v>0.132327</c:v>
              </c:pt>
              <c:pt idx="3308">
                <c:v>0.13236700000000001</c:v>
              </c:pt>
              <c:pt idx="3309">
                <c:v>0.132407</c:v>
              </c:pt>
              <c:pt idx="3310">
                <c:v>0.13244700000000001</c:v>
              </c:pt>
              <c:pt idx="3311">
                <c:v>0.13248699999999999</c:v>
              </c:pt>
              <c:pt idx="3312">
                <c:v>0.13252700000000001</c:v>
              </c:pt>
              <c:pt idx="3313">
                <c:v>0.13256699999999999</c:v>
              </c:pt>
              <c:pt idx="3314">
                <c:v>0.132607</c:v>
              </c:pt>
              <c:pt idx="3315">
                <c:v>0.13264699999999999</c:v>
              </c:pt>
              <c:pt idx="3316">
                <c:v>0.132687</c:v>
              </c:pt>
              <c:pt idx="3317">
                <c:v>0.13272700000000001</c:v>
              </c:pt>
              <c:pt idx="3318">
                <c:v>0.132767</c:v>
              </c:pt>
              <c:pt idx="3319">
                <c:v>0.13280700000000001</c:v>
              </c:pt>
              <c:pt idx="3320">
                <c:v>0.13284699999999999</c:v>
              </c:pt>
              <c:pt idx="3321">
                <c:v>0.13288700000000001</c:v>
              </c:pt>
              <c:pt idx="3322">
                <c:v>0.13292699999999999</c:v>
              </c:pt>
              <c:pt idx="3323">
                <c:v>0.132967</c:v>
              </c:pt>
              <c:pt idx="3324">
                <c:v>0.13300699999999999</c:v>
              </c:pt>
              <c:pt idx="3325">
                <c:v>0.133047</c:v>
              </c:pt>
              <c:pt idx="3326">
                <c:v>0.13308700000000001</c:v>
              </c:pt>
              <c:pt idx="3327">
                <c:v>0.133127</c:v>
              </c:pt>
              <c:pt idx="3328">
                <c:v>0.13316700000000001</c:v>
              </c:pt>
              <c:pt idx="3329">
                <c:v>0.13320699999999999</c:v>
              </c:pt>
              <c:pt idx="3330">
                <c:v>0.133247</c:v>
              </c:pt>
              <c:pt idx="3331">
                <c:v>0.13328699999999999</c:v>
              </c:pt>
              <c:pt idx="3332">
                <c:v>0.133327</c:v>
              </c:pt>
              <c:pt idx="3333">
                <c:v>0.13336700000000001</c:v>
              </c:pt>
              <c:pt idx="3334">
                <c:v>0.133407</c:v>
              </c:pt>
              <c:pt idx="3335">
                <c:v>0.13344700000000001</c:v>
              </c:pt>
              <c:pt idx="3336">
                <c:v>0.13348699999999999</c:v>
              </c:pt>
              <c:pt idx="3337">
                <c:v>0.13352700000000001</c:v>
              </c:pt>
              <c:pt idx="3338">
                <c:v>0.13356699999999999</c:v>
              </c:pt>
              <c:pt idx="3339">
                <c:v>0.133607</c:v>
              </c:pt>
              <c:pt idx="3340">
                <c:v>0.13364699999999999</c:v>
              </c:pt>
              <c:pt idx="3341">
                <c:v>0.133687</c:v>
              </c:pt>
              <c:pt idx="3342">
                <c:v>0.13372700000000001</c:v>
              </c:pt>
              <c:pt idx="3343">
                <c:v>0.133767</c:v>
              </c:pt>
              <c:pt idx="3344">
                <c:v>0.13380700000000001</c:v>
              </c:pt>
              <c:pt idx="3345">
                <c:v>0.13384699999999999</c:v>
              </c:pt>
              <c:pt idx="3346">
                <c:v>0.13388700000000001</c:v>
              </c:pt>
              <c:pt idx="3347">
                <c:v>0.13392699999999999</c:v>
              </c:pt>
              <c:pt idx="3348">
                <c:v>0.133967</c:v>
              </c:pt>
              <c:pt idx="3349">
                <c:v>0.13400699999999999</c:v>
              </c:pt>
              <c:pt idx="3350">
                <c:v>0.134047</c:v>
              </c:pt>
              <c:pt idx="3351">
                <c:v>0.13408700000000001</c:v>
              </c:pt>
              <c:pt idx="3352">
                <c:v>0.134127</c:v>
              </c:pt>
              <c:pt idx="3353">
                <c:v>0.13416700000000001</c:v>
              </c:pt>
              <c:pt idx="3354">
                <c:v>0.13420699999999999</c:v>
              </c:pt>
              <c:pt idx="3355">
                <c:v>0.13424700000000001</c:v>
              </c:pt>
              <c:pt idx="3356">
                <c:v>0.13428699999999999</c:v>
              </c:pt>
              <c:pt idx="3357">
                <c:v>0.134327</c:v>
              </c:pt>
              <c:pt idx="3358">
                <c:v>0.13436699999999999</c:v>
              </c:pt>
              <c:pt idx="3359">
                <c:v>0.134407</c:v>
              </c:pt>
              <c:pt idx="3360">
                <c:v>0.13444700000000001</c:v>
              </c:pt>
              <c:pt idx="3361">
                <c:v>0.134487</c:v>
              </c:pt>
              <c:pt idx="3362">
                <c:v>0.13452700000000001</c:v>
              </c:pt>
              <c:pt idx="3363">
                <c:v>0.13456699999999999</c:v>
              </c:pt>
              <c:pt idx="3364">
                <c:v>0.134607</c:v>
              </c:pt>
              <c:pt idx="3365">
                <c:v>0.13464699999999999</c:v>
              </c:pt>
              <c:pt idx="3366">
                <c:v>0.134687</c:v>
              </c:pt>
              <c:pt idx="3367">
                <c:v>0.13472700000000001</c:v>
              </c:pt>
              <c:pt idx="3368">
                <c:v>0.134767</c:v>
              </c:pt>
              <c:pt idx="3369">
                <c:v>0.13480700000000001</c:v>
              </c:pt>
              <c:pt idx="3370">
                <c:v>0.13484699999999999</c:v>
              </c:pt>
              <c:pt idx="3371">
                <c:v>0.13488700000000001</c:v>
              </c:pt>
              <c:pt idx="3372">
                <c:v>0.13492699999999999</c:v>
              </c:pt>
              <c:pt idx="3373">
                <c:v>0.134967</c:v>
              </c:pt>
              <c:pt idx="3374">
                <c:v>0.13500699999999999</c:v>
              </c:pt>
              <c:pt idx="3375">
                <c:v>0.135047</c:v>
              </c:pt>
              <c:pt idx="3376">
                <c:v>0.13508700000000001</c:v>
              </c:pt>
              <c:pt idx="3377">
                <c:v>0.135127</c:v>
              </c:pt>
              <c:pt idx="3378">
                <c:v>0.13516700000000001</c:v>
              </c:pt>
              <c:pt idx="3379">
                <c:v>0.13520699999999999</c:v>
              </c:pt>
              <c:pt idx="3380">
                <c:v>0.13524700000000001</c:v>
              </c:pt>
              <c:pt idx="3381">
                <c:v>0.13528699999999999</c:v>
              </c:pt>
              <c:pt idx="3382">
                <c:v>0.135327</c:v>
              </c:pt>
              <c:pt idx="3383">
                <c:v>0.13536699999999999</c:v>
              </c:pt>
              <c:pt idx="3384">
                <c:v>0.135407</c:v>
              </c:pt>
              <c:pt idx="3385">
                <c:v>0.13544700000000001</c:v>
              </c:pt>
              <c:pt idx="3386">
                <c:v>0.135487</c:v>
              </c:pt>
              <c:pt idx="3387">
                <c:v>0.13552700000000001</c:v>
              </c:pt>
              <c:pt idx="3388">
                <c:v>0.13556699999999999</c:v>
              </c:pt>
              <c:pt idx="3389">
                <c:v>0.13560700000000001</c:v>
              </c:pt>
              <c:pt idx="3390">
                <c:v>0.13564699999999999</c:v>
              </c:pt>
              <c:pt idx="3391">
                <c:v>0.135687</c:v>
              </c:pt>
              <c:pt idx="3392">
                <c:v>0.13572699999999999</c:v>
              </c:pt>
              <c:pt idx="3393">
                <c:v>0.135767</c:v>
              </c:pt>
              <c:pt idx="3394">
                <c:v>0.13580700000000001</c:v>
              </c:pt>
              <c:pt idx="3395">
                <c:v>0.135847</c:v>
              </c:pt>
              <c:pt idx="3396">
                <c:v>0.13588700000000001</c:v>
              </c:pt>
              <c:pt idx="3397">
                <c:v>0.13592699999999999</c:v>
              </c:pt>
              <c:pt idx="3398">
                <c:v>0.135967</c:v>
              </c:pt>
              <c:pt idx="3399">
                <c:v>0.13600699999999999</c:v>
              </c:pt>
              <c:pt idx="3400">
                <c:v>0.136047</c:v>
              </c:pt>
              <c:pt idx="3401">
                <c:v>0.13608700000000001</c:v>
              </c:pt>
              <c:pt idx="3402">
                <c:v>0.136127</c:v>
              </c:pt>
              <c:pt idx="3403">
                <c:v>0.13616700000000001</c:v>
              </c:pt>
              <c:pt idx="3404">
                <c:v>0.13620699999999999</c:v>
              </c:pt>
              <c:pt idx="3405">
                <c:v>0.13624700000000001</c:v>
              </c:pt>
              <c:pt idx="3406">
                <c:v>0.13628699999999999</c:v>
              </c:pt>
              <c:pt idx="3407">
                <c:v>0.136327</c:v>
              </c:pt>
              <c:pt idx="3408">
                <c:v>0.13636699999999999</c:v>
              </c:pt>
              <c:pt idx="3409">
                <c:v>0.136407</c:v>
              </c:pt>
              <c:pt idx="3410">
                <c:v>0.13644700000000001</c:v>
              </c:pt>
              <c:pt idx="3411">
                <c:v>0.136487</c:v>
              </c:pt>
              <c:pt idx="3412">
                <c:v>0.13652700000000001</c:v>
              </c:pt>
              <c:pt idx="3413">
                <c:v>0.13656699999999999</c:v>
              </c:pt>
              <c:pt idx="3414">
                <c:v>0.13660700000000001</c:v>
              </c:pt>
              <c:pt idx="3415">
                <c:v>0.13664699999999999</c:v>
              </c:pt>
              <c:pt idx="3416">
                <c:v>0.136687</c:v>
              </c:pt>
              <c:pt idx="3417">
                <c:v>0.13672699999999999</c:v>
              </c:pt>
              <c:pt idx="3418">
                <c:v>0.136767</c:v>
              </c:pt>
              <c:pt idx="3419">
                <c:v>0.13680700000000001</c:v>
              </c:pt>
              <c:pt idx="3420">
                <c:v>0.136847</c:v>
              </c:pt>
              <c:pt idx="3421">
                <c:v>0.13688700000000001</c:v>
              </c:pt>
              <c:pt idx="3422">
                <c:v>0.13692699999999999</c:v>
              </c:pt>
              <c:pt idx="3423">
                <c:v>0.13696700000000001</c:v>
              </c:pt>
              <c:pt idx="3424">
                <c:v>0.13700699999999999</c:v>
              </c:pt>
              <c:pt idx="3425">
                <c:v>0.137047</c:v>
              </c:pt>
              <c:pt idx="3426">
                <c:v>0.13708699999999999</c:v>
              </c:pt>
              <c:pt idx="3427">
                <c:v>0.137127</c:v>
              </c:pt>
              <c:pt idx="3428">
                <c:v>0.13716700000000001</c:v>
              </c:pt>
              <c:pt idx="3429">
                <c:v>0.137207</c:v>
              </c:pt>
              <c:pt idx="3430">
                <c:v>0.13724700000000001</c:v>
              </c:pt>
              <c:pt idx="3431">
                <c:v>0.13728699999999999</c:v>
              </c:pt>
              <c:pt idx="3432">
                <c:v>0.137327</c:v>
              </c:pt>
              <c:pt idx="3433">
                <c:v>0.13736699999999999</c:v>
              </c:pt>
              <c:pt idx="3434">
                <c:v>0.137407</c:v>
              </c:pt>
              <c:pt idx="3435">
                <c:v>0.13744700000000001</c:v>
              </c:pt>
              <c:pt idx="3436">
                <c:v>0.137487</c:v>
              </c:pt>
              <c:pt idx="3437">
                <c:v>0.13752700000000001</c:v>
              </c:pt>
              <c:pt idx="3438">
                <c:v>0.13756699999999999</c:v>
              </c:pt>
              <c:pt idx="3439">
                <c:v>0.13760700000000001</c:v>
              </c:pt>
              <c:pt idx="3440">
                <c:v>0.13764699999999999</c:v>
              </c:pt>
              <c:pt idx="3441">
                <c:v>0.137687</c:v>
              </c:pt>
              <c:pt idx="3442">
                <c:v>0.13772699999999999</c:v>
              </c:pt>
              <c:pt idx="3443">
                <c:v>0.137767</c:v>
              </c:pt>
              <c:pt idx="3444">
                <c:v>0.13780700000000001</c:v>
              </c:pt>
              <c:pt idx="3445">
                <c:v>0.137847</c:v>
              </c:pt>
              <c:pt idx="3446">
                <c:v>0.13788700000000001</c:v>
              </c:pt>
              <c:pt idx="3447">
                <c:v>0.13792699999999999</c:v>
              </c:pt>
              <c:pt idx="3448">
                <c:v>0.13796700000000001</c:v>
              </c:pt>
              <c:pt idx="3449">
                <c:v>0.13800699999999999</c:v>
              </c:pt>
              <c:pt idx="3450">
                <c:v>0.138047</c:v>
              </c:pt>
              <c:pt idx="3451">
                <c:v>0.13808699999999999</c:v>
              </c:pt>
              <c:pt idx="3452">
                <c:v>0.138127</c:v>
              </c:pt>
              <c:pt idx="3453">
                <c:v>0.13816700000000001</c:v>
              </c:pt>
              <c:pt idx="3454">
                <c:v>0.138207</c:v>
              </c:pt>
              <c:pt idx="3455">
                <c:v>0.13824700000000001</c:v>
              </c:pt>
              <c:pt idx="3456">
                <c:v>0.13828699999999999</c:v>
              </c:pt>
              <c:pt idx="3457">
                <c:v>0.13832700000000001</c:v>
              </c:pt>
              <c:pt idx="3458">
                <c:v>0.13836699999999999</c:v>
              </c:pt>
              <c:pt idx="3459">
                <c:v>0.138407</c:v>
              </c:pt>
              <c:pt idx="3460">
                <c:v>0.13844699999999999</c:v>
              </c:pt>
              <c:pt idx="3461">
                <c:v>0.138487</c:v>
              </c:pt>
              <c:pt idx="3462">
                <c:v>0.13852700000000001</c:v>
              </c:pt>
              <c:pt idx="3463">
                <c:v>0.138567</c:v>
              </c:pt>
              <c:pt idx="3464">
                <c:v>0.13860700000000001</c:v>
              </c:pt>
              <c:pt idx="3465">
                <c:v>0.13864699999999999</c:v>
              </c:pt>
              <c:pt idx="3466">
                <c:v>0.138687</c:v>
              </c:pt>
              <c:pt idx="3467">
                <c:v>0.13872699999999999</c:v>
              </c:pt>
              <c:pt idx="3468">
                <c:v>0.138767</c:v>
              </c:pt>
              <c:pt idx="3469">
                <c:v>0.13880700000000001</c:v>
              </c:pt>
              <c:pt idx="3470">
                <c:v>0.138847</c:v>
              </c:pt>
              <c:pt idx="3471">
                <c:v>0.13888700000000001</c:v>
              </c:pt>
              <c:pt idx="3472">
                <c:v>0.13892699999999999</c:v>
              </c:pt>
              <c:pt idx="3473">
                <c:v>0.13896700000000001</c:v>
              </c:pt>
              <c:pt idx="3474">
                <c:v>0.13900699999999999</c:v>
              </c:pt>
              <c:pt idx="3475">
                <c:v>0.139047</c:v>
              </c:pt>
              <c:pt idx="3476">
                <c:v>0.13908699999999999</c:v>
              </c:pt>
              <c:pt idx="3477">
                <c:v>0.139127</c:v>
              </c:pt>
              <c:pt idx="3478">
                <c:v>0.13916700000000001</c:v>
              </c:pt>
              <c:pt idx="3479">
                <c:v>0.139207</c:v>
              </c:pt>
              <c:pt idx="3480">
                <c:v>0.13924700000000001</c:v>
              </c:pt>
              <c:pt idx="3481">
                <c:v>0.13928699999999999</c:v>
              </c:pt>
              <c:pt idx="3482">
                <c:v>0.13932700000000001</c:v>
              </c:pt>
              <c:pt idx="3483">
                <c:v>0.13936699999999999</c:v>
              </c:pt>
              <c:pt idx="3484">
                <c:v>0.139407</c:v>
              </c:pt>
              <c:pt idx="3485">
                <c:v>0.13944699999999999</c:v>
              </c:pt>
              <c:pt idx="3486">
                <c:v>0.139487</c:v>
              </c:pt>
              <c:pt idx="3487">
                <c:v>0.13952700000000001</c:v>
              </c:pt>
              <c:pt idx="3488">
                <c:v>0.139567</c:v>
              </c:pt>
              <c:pt idx="3489">
                <c:v>0.13960700000000001</c:v>
              </c:pt>
              <c:pt idx="3490">
                <c:v>0.13964699999999999</c:v>
              </c:pt>
              <c:pt idx="3491">
                <c:v>0.13968700000000001</c:v>
              </c:pt>
              <c:pt idx="3492">
                <c:v>0.13972699999999999</c:v>
              </c:pt>
              <c:pt idx="3493">
                <c:v>0.139767</c:v>
              </c:pt>
              <c:pt idx="3494">
                <c:v>0.13980699999999999</c:v>
              </c:pt>
              <c:pt idx="3495">
                <c:v>0.139847</c:v>
              </c:pt>
              <c:pt idx="3496">
                <c:v>0.13988700000000001</c:v>
              </c:pt>
              <c:pt idx="3497">
                <c:v>0.139927</c:v>
              </c:pt>
              <c:pt idx="3498">
                <c:v>0.13996700000000001</c:v>
              </c:pt>
              <c:pt idx="3499">
                <c:v>0.14000699999999999</c:v>
              </c:pt>
              <c:pt idx="3500">
                <c:v>0.140047</c:v>
              </c:pt>
              <c:pt idx="3501">
                <c:v>0.14008699999999999</c:v>
              </c:pt>
              <c:pt idx="3502">
                <c:v>0.140127</c:v>
              </c:pt>
              <c:pt idx="3503">
                <c:v>0.14016700000000001</c:v>
              </c:pt>
              <c:pt idx="3504">
                <c:v>0.140207</c:v>
              </c:pt>
              <c:pt idx="3505">
                <c:v>0.14024700000000001</c:v>
              </c:pt>
              <c:pt idx="3506">
                <c:v>0.140287</c:v>
              </c:pt>
              <c:pt idx="3507">
                <c:v>0.14032700000000001</c:v>
              </c:pt>
              <c:pt idx="3508">
                <c:v>0.14036699999999999</c:v>
              </c:pt>
              <c:pt idx="3509">
                <c:v>0.140407</c:v>
              </c:pt>
              <c:pt idx="3510">
                <c:v>0.14044699999999999</c:v>
              </c:pt>
              <c:pt idx="3511">
                <c:v>0.140487</c:v>
              </c:pt>
              <c:pt idx="3512">
                <c:v>0.14052700000000001</c:v>
              </c:pt>
              <c:pt idx="3513">
                <c:v>0.140567</c:v>
              </c:pt>
              <c:pt idx="3514">
                <c:v>0.14060700000000001</c:v>
              </c:pt>
              <c:pt idx="3515">
                <c:v>0.14064699999999999</c:v>
              </c:pt>
              <c:pt idx="3516">
                <c:v>0.14068700000000001</c:v>
              </c:pt>
              <c:pt idx="3517">
                <c:v>0.14072699999999999</c:v>
              </c:pt>
              <c:pt idx="3518">
                <c:v>0.140767</c:v>
              </c:pt>
              <c:pt idx="3519">
                <c:v>0.14080699999999999</c:v>
              </c:pt>
              <c:pt idx="3520">
                <c:v>0.140847</c:v>
              </c:pt>
              <c:pt idx="3521">
                <c:v>0.14088700000000001</c:v>
              </c:pt>
              <c:pt idx="3522">
                <c:v>0.140927</c:v>
              </c:pt>
              <c:pt idx="3523">
                <c:v>0.14096700000000001</c:v>
              </c:pt>
              <c:pt idx="3524">
                <c:v>0.14100699999999999</c:v>
              </c:pt>
              <c:pt idx="3525">
                <c:v>0.14104700000000001</c:v>
              </c:pt>
              <c:pt idx="3526">
                <c:v>0.14108699999999999</c:v>
              </c:pt>
              <c:pt idx="3527">
                <c:v>0.141127</c:v>
              </c:pt>
              <c:pt idx="3528">
                <c:v>0.14116699999999999</c:v>
              </c:pt>
              <c:pt idx="3529">
                <c:v>0.141207</c:v>
              </c:pt>
              <c:pt idx="3530">
                <c:v>0.14124700000000001</c:v>
              </c:pt>
              <c:pt idx="3531">
                <c:v>0.141287</c:v>
              </c:pt>
              <c:pt idx="3532">
                <c:v>0.14132700000000001</c:v>
              </c:pt>
              <c:pt idx="3533">
                <c:v>0.14136699999999999</c:v>
              </c:pt>
              <c:pt idx="3534">
                <c:v>0.141407</c:v>
              </c:pt>
              <c:pt idx="3535">
                <c:v>0.14144699999999999</c:v>
              </c:pt>
              <c:pt idx="3536">
                <c:v>0.141487</c:v>
              </c:pt>
              <c:pt idx="3537">
                <c:v>0.14152699999999999</c:v>
              </c:pt>
              <c:pt idx="3538">
                <c:v>0.141567</c:v>
              </c:pt>
              <c:pt idx="3539">
                <c:v>0.14160700000000001</c:v>
              </c:pt>
              <c:pt idx="3540">
                <c:v>0.141647</c:v>
              </c:pt>
              <c:pt idx="3541">
                <c:v>0.14168700000000001</c:v>
              </c:pt>
              <c:pt idx="3542">
                <c:v>0.14172699999999999</c:v>
              </c:pt>
              <c:pt idx="3543">
                <c:v>0.141767</c:v>
              </c:pt>
              <c:pt idx="3544">
                <c:v>0.14180699999999999</c:v>
              </c:pt>
              <c:pt idx="3545">
                <c:v>0.141847</c:v>
              </c:pt>
              <c:pt idx="3546">
                <c:v>0.14188700000000001</c:v>
              </c:pt>
              <c:pt idx="3547">
                <c:v>0.141927</c:v>
              </c:pt>
              <c:pt idx="3548">
                <c:v>0.14196700000000001</c:v>
              </c:pt>
              <c:pt idx="3549">
                <c:v>0.14200699999999999</c:v>
              </c:pt>
              <c:pt idx="3550">
                <c:v>0.14204700000000001</c:v>
              </c:pt>
              <c:pt idx="3551">
                <c:v>0.14208699999999999</c:v>
              </c:pt>
              <c:pt idx="3552">
                <c:v>0.142127</c:v>
              </c:pt>
              <c:pt idx="3553">
                <c:v>0.14216699999999999</c:v>
              </c:pt>
              <c:pt idx="3554">
                <c:v>0.142207</c:v>
              </c:pt>
              <c:pt idx="3555">
                <c:v>0.14224700000000001</c:v>
              </c:pt>
              <c:pt idx="3556">
                <c:v>0.142287</c:v>
              </c:pt>
              <c:pt idx="3557">
                <c:v>0.14232700000000001</c:v>
              </c:pt>
              <c:pt idx="3558">
                <c:v>0.14236699999999999</c:v>
              </c:pt>
              <c:pt idx="3559">
                <c:v>0.14240700000000001</c:v>
              </c:pt>
              <c:pt idx="3560">
                <c:v>0.14244699999999999</c:v>
              </c:pt>
              <c:pt idx="3561">
                <c:v>0.142487</c:v>
              </c:pt>
              <c:pt idx="3562">
                <c:v>0.14252699999999999</c:v>
              </c:pt>
              <c:pt idx="3563">
                <c:v>0.142567</c:v>
              </c:pt>
              <c:pt idx="3564">
                <c:v>0.14260700000000001</c:v>
              </c:pt>
              <c:pt idx="3565">
                <c:v>0.142647</c:v>
              </c:pt>
              <c:pt idx="3566">
                <c:v>0.14268700000000001</c:v>
              </c:pt>
              <c:pt idx="3567">
                <c:v>0.14272699999999999</c:v>
              </c:pt>
              <c:pt idx="3568">
                <c:v>0.14276700000000001</c:v>
              </c:pt>
              <c:pt idx="3569">
                <c:v>0.14280699999999999</c:v>
              </c:pt>
              <c:pt idx="3570">
                <c:v>0.142847</c:v>
              </c:pt>
              <c:pt idx="3571">
                <c:v>0.14288699999999999</c:v>
              </c:pt>
              <c:pt idx="3572">
                <c:v>0.142927</c:v>
              </c:pt>
              <c:pt idx="3573">
                <c:v>0.14296700000000001</c:v>
              </c:pt>
              <c:pt idx="3574">
                <c:v>0.143007</c:v>
              </c:pt>
              <c:pt idx="3575">
                <c:v>0.14304700000000001</c:v>
              </c:pt>
              <c:pt idx="3576">
                <c:v>0.14308699999999999</c:v>
              </c:pt>
              <c:pt idx="3577">
                <c:v>0.143127</c:v>
              </c:pt>
              <c:pt idx="3578">
                <c:v>0.14316699999999999</c:v>
              </c:pt>
              <c:pt idx="3579">
                <c:v>0.143207</c:v>
              </c:pt>
              <c:pt idx="3580">
                <c:v>0.14324700000000001</c:v>
              </c:pt>
              <c:pt idx="3581">
                <c:v>0.143287</c:v>
              </c:pt>
              <c:pt idx="3582">
                <c:v>0.14332700000000001</c:v>
              </c:pt>
              <c:pt idx="3583">
                <c:v>0.14336699999999999</c:v>
              </c:pt>
              <c:pt idx="3584">
                <c:v>0.14340700000000001</c:v>
              </c:pt>
              <c:pt idx="3585">
                <c:v>0.14344699999999999</c:v>
              </c:pt>
              <c:pt idx="3586">
                <c:v>0.143487</c:v>
              </c:pt>
              <c:pt idx="3587">
                <c:v>0.14352699999999999</c:v>
              </c:pt>
              <c:pt idx="3588">
                <c:v>0.143567</c:v>
              </c:pt>
              <c:pt idx="3589">
                <c:v>0.14360700000000001</c:v>
              </c:pt>
              <c:pt idx="3590">
                <c:v>0.143647</c:v>
              </c:pt>
              <c:pt idx="3591">
                <c:v>0.14368700000000001</c:v>
              </c:pt>
              <c:pt idx="3592">
                <c:v>0.14372699999999999</c:v>
              </c:pt>
              <c:pt idx="3593">
                <c:v>0.14376700000000001</c:v>
              </c:pt>
              <c:pt idx="3594">
                <c:v>0.14380699999999999</c:v>
              </c:pt>
              <c:pt idx="3595">
                <c:v>0.143847</c:v>
              </c:pt>
              <c:pt idx="3596">
                <c:v>0.14388699999999999</c:v>
              </c:pt>
              <c:pt idx="3597">
                <c:v>0.143927</c:v>
              </c:pt>
              <c:pt idx="3598">
                <c:v>0.14396700000000001</c:v>
              </c:pt>
              <c:pt idx="3599">
                <c:v>0.144007</c:v>
              </c:pt>
              <c:pt idx="3600">
                <c:v>0.14404700000000001</c:v>
              </c:pt>
              <c:pt idx="3601">
                <c:v>0.14408699999999999</c:v>
              </c:pt>
              <c:pt idx="3602">
                <c:v>0.14412700000000001</c:v>
              </c:pt>
              <c:pt idx="3603">
                <c:v>0.14416699999999999</c:v>
              </c:pt>
              <c:pt idx="3604">
                <c:v>0.144207</c:v>
              </c:pt>
              <c:pt idx="3605">
                <c:v>0.14424699999999999</c:v>
              </c:pt>
              <c:pt idx="3606">
                <c:v>0.144287</c:v>
              </c:pt>
              <c:pt idx="3607">
                <c:v>0.14432700000000001</c:v>
              </c:pt>
              <c:pt idx="3608">
                <c:v>0.144367</c:v>
              </c:pt>
              <c:pt idx="3609">
                <c:v>0.14440700000000001</c:v>
              </c:pt>
              <c:pt idx="3610">
                <c:v>0.14444699999999999</c:v>
              </c:pt>
              <c:pt idx="3611">
                <c:v>0.144487</c:v>
              </c:pt>
              <c:pt idx="3612">
                <c:v>0.14452699999999999</c:v>
              </c:pt>
              <c:pt idx="3613">
                <c:v>0.144567</c:v>
              </c:pt>
              <c:pt idx="3614">
                <c:v>0.14460700000000001</c:v>
              </c:pt>
              <c:pt idx="3615">
                <c:v>0.144647</c:v>
              </c:pt>
              <c:pt idx="3616">
                <c:v>0.14468700000000001</c:v>
              </c:pt>
              <c:pt idx="3617">
                <c:v>0.14472699999999999</c:v>
              </c:pt>
              <c:pt idx="3618">
                <c:v>0.14476700000000001</c:v>
              </c:pt>
              <c:pt idx="3619">
                <c:v>0.14480699999999999</c:v>
              </c:pt>
              <c:pt idx="3620">
                <c:v>0.144847</c:v>
              </c:pt>
              <c:pt idx="3621">
                <c:v>0.14488699999999999</c:v>
              </c:pt>
              <c:pt idx="3622">
                <c:v>0.144927</c:v>
              </c:pt>
              <c:pt idx="3623">
                <c:v>0.14496700000000001</c:v>
              </c:pt>
              <c:pt idx="3624">
                <c:v>0.145007</c:v>
              </c:pt>
              <c:pt idx="3625">
                <c:v>0.14504700000000001</c:v>
              </c:pt>
              <c:pt idx="3626">
                <c:v>0.14508699999999999</c:v>
              </c:pt>
              <c:pt idx="3627">
                <c:v>0.14512700000000001</c:v>
              </c:pt>
              <c:pt idx="3628">
                <c:v>0.14516699999999999</c:v>
              </c:pt>
              <c:pt idx="3629">
                <c:v>0.145207</c:v>
              </c:pt>
              <c:pt idx="3630">
                <c:v>0.14524699999999999</c:v>
              </c:pt>
              <c:pt idx="3631">
                <c:v>0.145287</c:v>
              </c:pt>
              <c:pt idx="3632">
                <c:v>0.14532700000000001</c:v>
              </c:pt>
              <c:pt idx="3633">
                <c:v>0.145367</c:v>
              </c:pt>
              <c:pt idx="3634">
                <c:v>0.14540700000000001</c:v>
              </c:pt>
              <c:pt idx="3635">
                <c:v>0.14544699999999999</c:v>
              </c:pt>
              <c:pt idx="3636">
                <c:v>0.14548700000000001</c:v>
              </c:pt>
              <c:pt idx="3637">
                <c:v>0.14552699999999999</c:v>
              </c:pt>
              <c:pt idx="3638">
                <c:v>0.145567</c:v>
              </c:pt>
              <c:pt idx="3639">
                <c:v>0.14560699999999999</c:v>
              </c:pt>
              <c:pt idx="3640">
                <c:v>0.145647</c:v>
              </c:pt>
              <c:pt idx="3641">
                <c:v>0.14568700000000001</c:v>
              </c:pt>
              <c:pt idx="3642">
                <c:v>0.145727</c:v>
              </c:pt>
              <c:pt idx="3643">
                <c:v>0.14576700000000001</c:v>
              </c:pt>
              <c:pt idx="3644">
                <c:v>0.14580699999999999</c:v>
              </c:pt>
              <c:pt idx="3645">
                <c:v>0.145847</c:v>
              </c:pt>
              <c:pt idx="3646">
                <c:v>0.14588699999999999</c:v>
              </c:pt>
              <c:pt idx="3647">
                <c:v>0.145927</c:v>
              </c:pt>
              <c:pt idx="3648">
                <c:v>0.14596700000000001</c:v>
              </c:pt>
              <c:pt idx="3649">
                <c:v>0.146007</c:v>
              </c:pt>
              <c:pt idx="3650">
                <c:v>0.14604700000000001</c:v>
              </c:pt>
              <c:pt idx="3651">
                <c:v>0.14608699999999999</c:v>
              </c:pt>
              <c:pt idx="3652">
                <c:v>0.14612700000000001</c:v>
              </c:pt>
              <c:pt idx="3653">
                <c:v>0.14616699999999999</c:v>
              </c:pt>
              <c:pt idx="3654">
                <c:v>0.146207</c:v>
              </c:pt>
              <c:pt idx="3655">
                <c:v>0.14624699999999999</c:v>
              </c:pt>
              <c:pt idx="3656">
                <c:v>0.146287</c:v>
              </c:pt>
              <c:pt idx="3657">
                <c:v>0.14632700000000001</c:v>
              </c:pt>
              <c:pt idx="3658">
                <c:v>0.146367</c:v>
              </c:pt>
              <c:pt idx="3659">
                <c:v>0.14640700000000001</c:v>
              </c:pt>
              <c:pt idx="3660">
                <c:v>0.14644699999999999</c:v>
              </c:pt>
              <c:pt idx="3661">
                <c:v>0.14648700000000001</c:v>
              </c:pt>
              <c:pt idx="3662">
                <c:v>0.14652699999999999</c:v>
              </c:pt>
              <c:pt idx="3663">
                <c:v>0.146567</c:v>
              </c:pt>
              <c:pt idx="3664">
                <c:v>0.14660699999999999</c:v>
              </c:pt>
              <c:pt idx="3665">
                <c:v>0.146647</c:v>
              </c:pt>
              <c:pt idx="3666">
                <c:v>0.14668700000000001</c:v>
              </c:pt>
              <c:pt idx="3667">
                <c:v>0.146727</c:v>
              </c:pt>
              <c:pt idx="3668">
                <c:v>0.14676700000000001</c:v>
              </c:pt>
              <c:pt idx="3669">
                <c:v>0.14680699999999999</c:v>
              </c:pt>
              <c:pt idx="3670">
                <c:v>0.14684700000000001</c:v>
              </c:pt>
              <c:pt idx="3671">
                <c:v>0.14688699999999999</c:v>
              </c:pt>
              <c:pt idx="3672">
                <c:v>0.146927</c:v>
              </c:pt>
              <c:pt idx="3673">
                <c:v>0.14696699999999999</c:v>
              </c:pt>
              <c:pt idx="3674">
                <c:v>0.147007</c:v>
              </c:pt>
              <c:pt idx="3675">
                <c:v>0.14704700000000001</c:v>
              </c:pt>
              <c:pt idx="3676">
                <c:v>0.147087</c:v>
              </c:pt>
              <c:pt idx="3677">
                <c:v>0.14712700000000001</c:v>
              </c:pt>
              <c:pt idx="3678">
                <c:v>0.14716699999999999</c:v>
              </c:pt>
              <c:pt idx="3679">
                <c:v>0.147207</c:v>
              </c:pt>
              <c:pt idx="3680">
                <c:v>0.14724699999999999</c:v>
              </c:pt>
              <c:pt idx="3681">
                <c:v>0.147287</c:v>
              </c:pt>
              <c:pt idx="3682">
                <c:v>0.14732700000000001</c:v>
              </c:pt>
              <c:pt idx="3683">
                <c:v>0.147367</c:v>
              </c:pt>
              <c:pt idx="3684">
                <c:v>0.14740700000000001</c:v>
              </c:pt>
              <c:pt idx="3685">
                <c:v>0.14744699999999999</c:v>
              </c:pt>
              <c:pt idx="3686">
                <c:v>0.14748700000000001</c:v>
              </c:pt>
              <c:pt idx="3687">
                <c:v>0.14752699999999999</c:v>
              </c:pt>
              <c:pt idx="3688">
                <c:v>0.147567</c:v>
              </c:pt>
              <c:pt idx="3689">
                <c:v>0.14760699999999999</c:v>
              </c:pt>
              <c:pt idx="3690">
                <c:v>0.147647</c:v>
              </c:pt>
              <c:pt idx="3691">
                <c:v>0.14768700000000001</c:v>
              </c:pt>
              <c:pt idx="3692">
                <c:v>0.147727</c:v>
              </c:pt>
              <c:pt idx="3693">
                <c:v>0.14776700000000001</c:v>
              </c:pt>
              <c:pt idx="3694">
                <c:v>0.14780699999999999</c:v>
              </c:pt>
              <c:pt idx="3695">
                <c:v>0.14784700000000001</c:v>
              </c:pt>
              <c:pt idx="3696">
                <c:v>0.14788699999999999</c:v>
              </c:pt>
              <c:pt idx="3697">
                <c:v>0.147927</c:v>
              </c:pt>
              <c:pt idx="3698">
                <c:v>0.14796699999999999</c:v>
              </c:pt>
              <c:pt idx="3699">
                <c:v>0.148007</c:v>
              </c:pt>
              <c:pt idx="3700">
                <c:v>0.14804700000000001</c:v>
              </c:pt>
              <c:pt idx="3701">
                <c:v>0.148087</c:v>
              </c:pt>
              <c:pt idx="3702">
                <c:v>0.14812700000000001</c:v>
              </c:pt>
              <c:pt idx="3703">
                <c:v>0.14816699999999999</c:v>
              </c:pt>
              <c:pt idx="3704">
                <c:v>0.14820700000000001</c:v>
              </c:pt>
              <c:pt idx="3705">
                <c:v>0.14824699999999999</c:v>
              </c:pt>
              <c:pt idx="3706">
                <c:v>0.148287</c:v>
              </c:pt>
              <c:pt idx="3707">
                <c:v>0.14832699999999999</c:v>
              </c:pt>
              <c:pt idx="3708">
                <c:v>0.148367</c:v>
              </c:pt>
              <c:pt idx="3709">
                <c:v>0.14840700000000001</c:v>
              </c:pt>
              <c:pt idx="3710">
                <c:v>0.148447</c:v>
              </c:pt>
              <c:pt idx="3711">
                <c:v>0.14848700000000001</c:v>
              </c:pt>
              <c:pt idx="3712">
                <c:v>0.14852699999999999</c:v>
              </c:pt>
              <c:pt idx="3713">
                <c:v>0.148567</c:v>
              </c:pt>
              <c:pt idx="3714">
                <c:v>0.14860699999999999</c:v>
              </c:pt>
              <c:pt idx="3715">
                <c:v>0.148647</c:v>
              </c:pt>
              <c:pt idx="3716">
                <c:v>0.14868700000000001</c:v>
              </c:pt>
              <c:pt idx="3717">
                <c:v>0.148727</c:v>
              </c:pt>
              <c:pt idx="3718">
                <c:v>0.14876700000000001</c:v>
              </c:pt>
              <c:pt idx="3719">
                <c:v>0.14880699999999999</c:v>
              </c:pt>
              <c:pt idx="3720">
                <c:v>0.14884700000000001</c:v>
              </c:pt>
              <c:pt idx="3721">
                <c:v>0.14888699999999999</c:v>
              </c:pt>
              <c:pt idx="3722">
                <c:v>0.148927</c:v>
              </c:pt>
              <c:pt idx="3723">
                <c:v>0.14896699999999999</c:v>
              </c:pt>
              <c:pt idx="3724">
                <c:v>0.149007</c:v>
              </c:pt>
              <c:pt idx="3725">
                <c:v>0.14904700000000001</c:v>
              </c:pt>
              <c:pt idx="3726">
                <c:v>0.149087</c:v>
              </c:pt>
              <c:pt idx="3727">
                <c:v>0.14912700000000001</c:v>
              </c:pt>
              <c:pt idx="3728">
                <c:v>0.14916699999999999</c:v>
              </c:pt>
              <c:pt idx="3729">
                <c:v>0.14920700000000001</c:v>
              </c:pt>
              <c:pt idx="3730">
                <c:v>0.14924699999999999</c:v>
              </c:pt>
              <c:pt idx="3731">
                <c:v>0.149287</c:v>
              </c:pt>
              <c:pt idx="3732">
                <c:v>0.14932699999999999</c:v>
              </c:pt>
              <c:pt idx="3733">
                <c:v>0.149367</c:v>
              </c:pt>
              <c:pt idx="3734">
                <c:v>0.14940700000000001</c:v>
              </c:pt>
              <c:pt idx="3735">
                <c:v>0.149447</c:v>
              </c:pt>
              <c:pt idx="3736">
                <c:v>0.14948700000000001</c:v>
              </c:pt>
              <c:pt idx="3737">
                <c:v>0.14952699999999999</c:v>
              </c:pt>
              <c:pt idx="3738">
                <c:v>0.14956700000000001</c:v>
              </c:pt>
              <c:pt idx="3739">
                <c:v>0.14960699999999999</c:v>
              </c:pt>
              <c:pt idx="3740">
                <c:v>0.149647</c:v>
              </c:pt>
              <c:pt idx="3741">
                <c:v>0.14968699999999999</c:v>
              </c:pt>
              <c:pt idx="3742">
                <c:v>0.149727</c:v>
              </c:pt>
              <c:pt idx="3743">
                <c:v>0.14976700000000001</c:v>
              </c:pt>
              <c:pt idx="3744">
                <c:v>0.149807</c:v>
              </c:pt>
              <c:pt idx="3745">
                <c:v>0.14984700000000001</c:v>
              </c:pt>
              <c:pt idx="3746">
                <c:v>0.14988699999999999</c:v>
              </c:pt>
              <c:pt idx="3747">
                <c:v>0.149927</c:v>
              </c:pt>
              <c:pt idx="3748">
                <c:v>0.14996699999999999</c:v>
              </c:pt>
              <c:pt idx="3749">
                <c:v>0.150007</c:v>
              </c:pt>
              <c:pt idx="3750">
                <c:v>0.15004700000000001</c:v>
              </c:pt>
              <c:pt idx="3751">
                <c:v>0.150086</c:v>
              </c:pt>
              <c:pt idx="3752">
                <c:v>0.15012600000000001</c:v>
              </c:pt>
              <c:pt idx="3753">
                <c:v>0.15016599999999999</c:v>
              </c:pt>
              <c:pt idx="3754">
                <c:v>0.15020600000000001</c:v>
              </c:pt>
              <c:pt idx="3755">
                <c:v>0.15024599999999999</c:v>
              </c:pt>
              <c:pt idx="3756">
                <c:v>0.150286</c:v>
              </c:pt>
              <c:pt idx="3757">
                <c:v>0.15032599999999999</c:v>
              </c:pt>
              <c:pt idx="3758">
                <c:v>0.150366</c:v>
              </c:pt>
              <c:pt idx="3759">
                <c:v>0.15040600000000001</c:v>
              </c:pt>
              <c:pt idx="3760">
                <c:v>0.150446</c:v>
              </c:pt>
              <c:pt idx="3761">
                <c:v>0.15048600000000001</c:v>
              </c:pt>
              <c:pt idx="3762">
                <c:v>0.15052599999999999</c:v>
              </c:pt>
              <c:pt idx="3763">
                <c:v>0.15056600000000001</c:v>
              </c:pt>
              <c:pt idx="3764">
                <c:v>0.15060599999999999</c:v>
              </c:pt>
              <c:pt idx="3765">
                <c:v>0.150646</c:v>
              </c:pt>
              <c:pt idx="3766">
                <c:v>0.15068599999999999</c:v>
              </c:pt>
              <c:pt idx="3767">
                <c:v>0.150726</c:v>
              </c:pt>
              <c:pt idx="3768">
                <c:v>0.15076600000000001</c:v>
              </c:pt>
              <c:pt idx="3769">
                <c:v>0.150806</c:v>
              </c:pt>
              <c:pt idx="3770">
                <c:v>0.15084600000000001</c:v>
              </c:pt>
              <c:pt idx="3771">
                <c:v>0.15088599999999999</c:v>
              </c:pt>
              <c:pt idx="3772">
                <c:v>0.150926</c:v>
              </c:pt>
              <c:pt idx="3773">
                <c:v>0.15096599999999999</c:v>
              </c:pt>
              <c:pt idx="3774">
                <c:v>0.151006</c:v>
              </c:pt>
              <c:pt idx="3775">
                <c:v>0.15104600000000001</c:v>
              </c:pt>
              <c:pt idx="3776">
                <c:v>0.151086</c:v>
              </c:pt>
              <c:pt idx="3777">
                <c:v>0.15112600000000001</c:v>
              </c:pt>
              <c:pt idx="3778">
                <c:v>0.15116599999999999</c:v>
              </c:pt>
              <c:pt idx="3779">
                <c:v>0.15120600000000001</c:v>
              </c:pt>
              <c:pt idx="3780">
                <c:v>0.15124599999999999</c:v>
              </c:pt>
              <c:pt idx="3781">
                <c:v>0.151286</c:v>
              </c:pt>
              <c:pt idx="3782">
                <c:v>0.15132599999999999</c:v>
              </c:pt>
              <c:pt idx="3783">
                <c:v>0.151366</c:v>
              </c:pt>
              <c:pt idx="3784">
                <c:v>0.15140600000000001</c:v>
              </c:pt>
              <c:pt idx="3785">
                <c:v>0.151446</c:v>
              </c:pt>
              <c:pt idx="3786">
                <c:v>0.15148600000000001</c:v>
              </c:pt>
              <c:pt idx="3787">
                <c:v>0.15152599999999999</c:v>
              </c:pt>
              <c:pt idx="3788">
                <c:v>0.15156600000000001</c:v>
              </c:pt>
              <c:pt idx="3789">
                <c:v>0.15160599999999999</c:v>
              </c:pt>
              <c:pt idx="3790">
                <c:v>0.151646</c:v>
              </c:pt>
              <c:pt idx="3791">
                <c:v>0.15168599999999999</c:v>
              </c:pt>
              <c:pt idx="3792">
                <c:v>0.151726</c:v>
              </c:pt>
              <c:pt idx="3793">
                <c:v>0.15176600000000001</c:v>
              </c:pt>
              <c:pt idx="3794">
                <c:v>0.151806</c:v>
              </c:pt>
              <c:pt idx="3795">
                <c:v>0.15184600000000001</c:v>
              </c:pt>
              <c:pt idx="3796">
                <c:v>0.15188599999999999</c:v>
              </c:pt>
              <c:pt idx="3797">
                <c:v>0.15192600000000001</c:v>
              </c:pt>
              <c:pt idx="3798">
                <c:v>0.15196599999999999</c:v>
              </c:pt>
              <c:pt idx="3799">
                <c:v>0.152006</c:v>
              </c:pt>
              <c:pt idx="3800">
                <c:v>0.15204599999999999</c:v>
              </c:pt>
              <c:pt idx="3801">
                <c:v>0.152086</c:v>
              </c:pt>
              <c:pt idx="3802">
                <c:v>0.15212600000000001</c:v>
              </c:pt>
              <c:pt idx="3803">
                <c:v>0.152166</c:v>
              </c:pt>
              <c:pt idx="3804">
                <c:v>0.15220600000000001</c:v>
              </c:pt>
              <c:pt idx="3805">
                <c:v>0.15224599999999999</c:v>
              </c:pt>
              <c:pt idx="3806">
                <c:v>0.152286</c:v>
              </c:pt>
              <c:pt idx="3807">
                <c:v>0.15232599999999999</c:v>
              </c:pt>
              <c:pt idx="3808">
                <c:v>0.152366</c:v>
              </c:pt>
              <c:pt idx="3809">
                <c:v>0.15240600000000001</c:v>
              </c:pt>
              <c:pt idx="3810">
                <c:v>0.152446</c:v>
              </c:pt>
              <c:pt idx="3811">
                <c:v>0.15248600000000001</c:v>
              </c:pt>
              <c:pt idx="3812">
                <c:v>0.15252599999999999</c:v>
              </c:pt>
              <c:pt idx="3813">
                <c:v>0.15256600000000001</c:v>
              </c:pt>
              <c:pt idx="3814">
                <c:v>0.15260599999999999</c:v>
              </c:pt>
              <c:pt idx="3815">
                <c:v>0.152646</c:v>
              </c:pt>
              <c:pt idx="3816">
                <c:v>0.15268599999999999</c:v>
              </c:pt>
              <c:pt idx="3817">
                <c:v>0.152726</c:v>
              </c:pt>
              <c:pt idx="3818">
                <c:v>0.15276600000000001</c:v>
              </c:pt>
              <c:pt idx="3819">
                <c:v>0.152806</c:v>
              </c:pt>
              <c:pt idx="3820">
                <c:v>0.15284600000000001</c:v>
              </c:pt>
              <c:pt idx="3821">
                <c:v>0.15288599999999999</c:v>
              </c:pt>
              <c:pt idx="3822">
                <c:v>0.15292600000000001</c:v>
              </c:pt>
              <c:pt idx="3823">
                <c:v>0.15296599999999999</c:v>
              </c:pt>
              <c:pt idx="3824">
                <c:v>0.153006</c:v>
              </c:pt>
              <c:pt idx="3825">
                <c:v>0.15304599999999999</c:v>
              </c:pt>
              <c:pt idx="3826">
                <c:v>0.153086</c:v>
              </c:pt>
              <c:pt idx="3827">
                <c:v>0.15312600000000001</c:v>
              </c:pt>
              <c:pt idx="3828">
                <c:v>0.153166</c:v>
              </c:pt>
              <c:pt idx="3829">
                <c:v>0.15320600000000001</c:v>
              </c:pt>
              <c:pt idx="3830">
                <c:v>0.15324599999999999</c:v>
              </c:pt>
              <c:pt idx="3831">
                <c:v>0.15328600000000001</c:v>
              </c:pt>
              <c:pt idx="3832">
                <c:v>0.15332599999999999</c:v>
              </c:pt>
              <c:pt idx="3833">
                <c:v>0.153366</c:v>
              </c:pt>
              <c:pt idx="3834">
                <c:v>0.15340599999999999</c:v>
              </c:pt>
              <c:pt idx="3835">
                <c:v>0.153446</c:v>
              </c:pt>
              <c:pt idx="3836">
                <c:v>0.15348600000000001</c:v>
              </c:pt>
              <c:pt idx="3837">
                <c:v>0.153526</c:v>
              </c:pt>
              <c:pt idx="3838">
                <c:v>0.15356600000000001</c:v>
              </c:pt>
              <c:pt idx="3839">
                <c:v>0.15360599999999999</c:v>
              </c:pt>
              <c:pt idx="3840">
                <c:v>0.153646</c:v>
              </c:pt>
              <c:pt idx="3841">
                <c:v>0.15368599999999999</c:v>
              </c:pt>
              <c:pt idx="3842">
                <c:v>0.153726</c:v>
              </c:pt>
              <c:pt idx="3843">
                <c:v>0.15376600000000001</c:v>
              </c:pt>
              <c:pt idx="3844">
                <c:v>0.153806</c:v>
              </c:pt>
              <c:pt idx="3845">
                <c:v>0.15384600000000001</c:v>
              </c:pt>
              <c:pt idx="3846">
                <c:v>0.153886</c:v>
              </c:pt>
              <c:pt idx="3847">
                <c:v>0.15392600000000001</c:v>
              </c:pt>
              <c:pt idx="3848">
                <c:v>0.15396599999999999</c:v>
              </c:pt>
              <c:pt idx="3849">
                <c:v>0.154006</c:v>
              </c:pt>
              <c:pt idx="3850">
                <c:v>0.15404599999999999</c:v>
              </c:pt>
              <c:pt idx="3851">
                <c:v>0.154086</c:v>
              </c:pt>
              <c:pt idx="3852">
                <c:v>0.15412600000000001</c:v>
              </c:pt>
              <c:pt idx="3853">
                <c:v>0.154166</c:v>
              </c:pt>
              <c:pt idx="3854">
                <c:v>0.15420600000000001</c:v>
              </c:pt>
              <c:pt idx="3855">
                <c:v>0.15424599999999999</c:v>
              </c:pt>
              <c:pt idx="3856">
                <c:v>0.15428600000000001</c:v>
              </c:pt>
              <c:pt idx="3857">
                <c:v>0.15432599999999999</c:v>
              </c:pt>
              <c:pt idx="3858">
                <c:v>0.154366</c:v>
              </c:pt>
              <c:pt idx="3859">
                <c:v>0.15440599999999999</c:v>
              </c:pt>
              <c:pt idx="3860">
                <c:v>0.154446</c:v>
              </c:pt>
              <c:pt idx="3861">
                <c:v>0.15448600000000001</c:v>
              </c:pt>
              <c:pt idx="3862">
                <c:v>0.154526</c:v>
              </c:pt>
              <c:pt idx="3863">
                <c:v>0.15456600000000001</c:v>
              </c:pt>
              <c:pt idx="3864">
                <c:v>0.15460599999999999</c:v>
              </c:pt>
              <c:pt idx="3865">
                <c:v>0.15464600000000001</c:v>
              </c:pt>
              <c:pt idx="3866">
                <c:v>0.15468599999999999</c:v>
              </c:pt>
              <c:pt idx="3867">
                <c:v>0.154726</c:v>
              </c:pt>
              <c:pt idx="3868">
                <c:v>0.15476599999999999</c:v>
              </c:pt>
              <c:pt idx="3869">
                <c:v>0.154806</c:v>
              </c:pt>
              <c:pt idx="3870">
                <c:v>0.15484600000000001</c:v>
              </c:pt>
              <c:pt idx="3871">
                <c:v>0.154886</c:v>
              </c:pt>
              <c:pt idx="3872">
                <c:v>0.15492600000000001</c:v>
              </c:pt>
              <c:pt idx="3873">
                <c:v>0.15496599999999999</c:v>
              </c:pt>
              <c:pt idx="3874">
                <c:v>0.155006</c:v>
              </c:pt>
              <c:pt idx="3875">
                <c:v>0.15504599999999999</c:v>
              </c:pt>
              <c:pt idx="3876">
                <c:v>0.155086</c:v>
              </c:pt>
              <c:pt idx="3877">
                <c:v>0.15512599999999999</c:v>
              </c:pt>
              <c:pt idx="3878">
                <c:v>0.155166</c:v>
              </c:pt>
              <c:pt idx="3879">
                <c:v>0.15520600000000001</c:v>
              </c:pt>
              <c:pt idx="3880">
                <c:v>0.155246</c:v>
              </c:pt>
              <c:pt idx="3881">
                <c:v>0.15528600000000001</c:v>
              </c:pt>
              <c:pt idx="3882">
                <c:v>0.15532599999999999</c:v>
              </c:pt>
              <c:pt idx="3883">
                <c:v>0.155366</c:v>
              </c:pt>
              <c:pt idx="3884">
                <c:v>0.15540599999999999</c:v>
              </c:pt>
              <c:pt idx="3885">
                <c:v>0.155446</c:v>
              </c:pt>
              <c:pt idx="3886">
                <c:v>0.15548600000000001</c:v>
              </c:pt>
              <c:pt idx="3887">
                <c:v>0.155526</c:v>
              </c:pt>
              <c:pt idx="3888">
                <c:v>0.15556600000000001</c:v>
              </c:pt>
              <c:pt idx="3889">
                <c:v>0.15560599999999999</c:v>
              </c:pt>
              <c:pt idx="3890">
                <c:v>0.15564600000000001</c:v>
              </c:pt>
              <c:pt idx="3891">
                <c:v>0.15568599999999999</c:v>
              </c:pt>
              <c:pt idx="3892">
                <c:v>0.155726</c:v>
              </c:pt>
              <c:pt idx="3893">
                <c:v>0.15576599999999999</c:v>
              </c:pt>
              <c:pt idx="3894">
                <c:v>0.155806</c:v>
              </c:pt>
              <c:pt idx="3895">
                <c:v>0.15584600000000001</c:v>
              </c:pt>
              <c:pt idx="3896">
                <c:v>0.155886</c:v>
              </c:pt>
              <c:pt idx="3897">
                <c:v>0.15592600000000001</c:v>
              </c:pt>
              <c:pt idx="3898">
                <c:v>0.15596599999999999</c:v>
              </c:pt>
              <c:pt idx="3899">
                <c:v>0.15600600000000001</c:v>
              </c:pt>
              <c:pt idx="3900">
                <c:v>0.15604599999999999</c:v>
              </c:pt>
              <c:pt idx="3901">
                <c:v>0.156086</c:v>
              </c:pt>
              <c:pt idx="3902">
                <c:v>0.15612599999999999</c:v>
              </c:pt>
              <c:pt idx="3903">
                <c:v>0.156166</c:v>
              </c:pt>
              <c:pt idx="3904">
                <c:v>0.15620600000000001</c:v>
              </c:pt>
              <c:pt idx="3905">
                <c:v>0.156246</c:v>
              </c:pt>
              <c:pt idx="3906">
                <c:v>0.15628600000000001</c:v>
              </c:pt>
              <c:pt idx="3907">
                <c:v>0.15632599999999999</c:v>
              </c:pt>
              <c:pt idx="3908">
                <c:v>0.156366</c:v>
              </c:pt>
              <c:pt idx="3909">
                <c:v>0.15640599999999999</c:v>
              </c:pt>
              <c:pt idx="3910">
                <c:v>0.156446</c:v>
              </c:pt>
              <c:pt idx="3911">
                <c:v>0.15648599999999999</c:v>
              </c:pt>
              <c:pt idx="3912">
                <c:v>0.156526</c:v>
              </c:pt>
              <c:pt idx="3913">
                <c:v>0.15656600000000001</c:v>
              </c:pt>
              <c:pt idx="3914">
                <c:v>0.156606</c:v>
              </c:pt>
              <c:pt idx="3915">
                <c:v>0.15664600000000001</c:v>
              </c:pt>
              <c:pt idx="3916">
                <c:v>0.15668599999999999</c:v>
              </c:pt>
              <c:pt idx="3917">
                <c:v>0.156726</c:v>
              </c:pt>
              <c:pt idx="3918">
                <c:v>0.15676599999999999</c:v>
              </c:pt>
              <c:pt idx="3919">
                <c:v>0.156806</c:v>
              </c:pt>
              <c:pt idx="3920">
                <c:v>0.15684600000000001</c:v>
              </c:pt>
              <c:pt idx="3921">
                <c:v>0.156886</c:v>
              </c:pt>
              <c:pt idx="3922">
                <c:v>0.15692600000000001</c:v>
              </c:pt>
              <c:pt idx="3923">
                <c:v>0.15696599999999999</c:v>
              </c:pt>
              <c:pt idx="3924">
                <c:v>0.15700600000000001</c:v>
              </c:pt>
              <c:pt idx="3925">
                <c:v>0.15704599999999999</c:v>
              </c:pt>
              <c:pt idx="3926">
                <c:v>0.157086</c:v>
              </c:pt>
              <c:pt idx="3927">
                <c:v>0.15712599999999999</c:v>
              </c:pt>
              <c:pt idx="3928">
                <c:v>0.157166</c:v>
              </c:pt>
              <c:pt idx="3929">
                <c:v>0.15720600000000001</c:v>
              </c:pt>
              <c:pt idx="3930">
                <c:v>0.157246</c:v>
              </c:pt>
              <c:pt idx="3931">
                <c:v>0.15728600000000001</c:v>
              </c:pt>
              <c:pt idx="3932">
                <c:v>0.15732599999999999</c:v>
              </c:pt>
              <c:pt idx="3933">
                <c:v>0.15736600000000001</c:v>
              </c:pt>
              <c:pt idx="3934">
                <c:v>0.15740599999999999</c:v>
              </c:pt>
              <c:pt idx="3935">
                <c:v>0.157446</c:v>
              </c:pt>
              <c:pt idx="3936">
                <c:v>0.15748599999999999</c:v>
              </c:pt>
              <c:pt idx="3937">
                <c:v>0.157526</c:v>
              </c:pt>
              <c:pt idx="3938">
                <c:v>0.15756600000000001</c:v>
              </c:pt>
              <c:pt idx="3939">
                <c:v>0.157606</c:v>
              </c:pt>
              <c:pt idx="3940">
                <c:v>0.15764600000000001</c:v>
              </c:pt>
              <c:pt idx="3941">
                <c:v>0.15768599999999999</c:v>
              </c:pt>
              <c:pt idx="3942">
                <c:v>0.15772600000000001</c:v>
              </c:pt>
              <c:pt idx="3943">
                <c:v>0.15776599999999999</c:v>
              </c:pt>
              <c:pt idx="3944">
                <c:v>0.157806</c:v>
              </c:pt>
              <c:pt idx="3945">
                <c:v>0.15784599999999999</c:v>
              </c:pt>
              <c:pt idx="3946">
                <c:v>0.157886</c:v>
              </c:pt>
              <c:pt idx="3947">
                <c:v>0.15792600000000001</c:v>
              </c:pt>
              <c:pt idx="3948">
                <c:v>0.157966</c:v>
              </c:pt>
              <c:pt idx="3949">
                <c:v>0.15800600000000001</c:v>
              </c:pt>
              <c:pt idx="3950">
                <c:v>0.15804599999999999</c:v>
              </c:pt>
              <c:pt idx="3951">
                <c:v>0.158086</c:v>
              </c:pt>
              <c:pt idx="3952">
                <c:v>0.15812599999999999</c:v>
              </c:pt>
              <c:pt idx="3953">
                <c:v>0.158166</c:v>
              </c:pt>
              <c:pt idx="3954">
                <c:v>0.15820600000000001</c:v>
              </c:pt>
              <c:pt idx="3955">
                <c:v>0.158246</c:v>
              </c:pt>
              <c:pt idx="3956">
                <c:v>0.15828600000000001</c:v>
              </c:pt>
              <c:pt idx="3957">
                <c:v>0.15832599999999999</c:v>
              </c:pt>
              <c:pt idx="3958">
                <c:v>0.15836600000000001</c:v>
              </c:pt>
              <c:pt idx="3959">
                <c:v>0.15840599999999999</c:v>
              </c:pt>
              <c:pt idx="3960">
                <c:v>0.158446</c:v>
              </c:pt>
              <c:pt idx="3961">
                <c:v>0.15848599999999999</c:v>
              </c:pt>
              <c:pt idx="3962">
                <c:v>0.158526</c:v>
              </c:pt>
              <c:pt idx="3963">
                <c:v>0.15856600000000001</c:v>
              </c:pt>
              <c:pt idx="3964">
                <c:v>0.158606</c:v>
              </c:pt>
              <c:pt idx="3965">
                <c:v>0.15864600000000001</c:v>
              </c:pt>
              <c:pt idx="3966">
                <c:v>0.15868599999999999</c:v>
              </c:pt>
              <c:pt idx="3967">
                <c:v>0.15872600000000001</c:v>
              </c:pt>
              <c:pt idx="3968">
                <c:v>0.15876599999999999</c:v>
              </c:pt>
              <c:pt idx="3969">
                <c:v>0.158806</c:v>
              </c:pt>
              <c:pt idx="3970">
                <c:v>0.15884599999999999</c:v>
              </c:pt>
              <c:pt idx="3971">
                <c:v>0.158886</c:v>
              </c:pt>
              <c:pt idx="3972">
                <c:v>0.15892600000000001</c:v>
              </c:pt>
              <c:pt idx="3973">
                <c:v>0.158966</c:v>
              </c:pt>
              <c:pt idx="3974">
                <c:v>0.15900600000000001</c:v>
              </c:pt>
              <c:pt idx="3975">
                <c:v>0.15904599999999999</c:v>
              </c:pt>
              <c:pt idx="3976">
                <c:v>0.15908600000000001</c:v>
              </c:pt>
              <c:pt idx="3977">
                <c:v>0.15912599999999999</c:v>
              </c:pt>
              <c:pt idx="3978">
                <c:v>0.159166</c:v>
              </c:pt>
              <c:pt idx="3979">
                <c:v>0.15920599999999999</c:v>
              </c:pt>
              <c:pt idx="3980">
                <c:v>0.159246</c:v>
              </c:pt>
              <c:pt idx="3981">
                <c:v>0.15928600000000001</c:v>
              </c:pt>
              <c:pt idx="3982">
                <c:v>0.159326</c:v>
              </c:pt>
              <c:pt idx="3983">
                <c:v>0.15936600000000001</c:v>
              </c:pt>
              <c:pt idx="3984">
                <c:v>0.15940599999999999</c:v>
              </c:pt>
              <c:pt idx="3985">
                <c:v>0.159446</c:v>
              </c:pt>
              <c:pt idx="3986">
                <c:v>0.15948599999999999</c:v>
              </c:pt>
              <c:pt idx="3987">
                <c:v>0.159526</c:v>
              </c:pt>
              <c:pt idx="3988">
                <c:v>0.15956600000000001</c:v>
              </c:pt>
              <c:pt idx="3989">
                <c:v>0.159606</c:v>
              </c:pt>
              <c:pt idx="3990">
                <c:v>0.15964600000000001</c:v>
              </c:pt>
              <c:pt idx="3991">
                <c:v>0.15968599999999999</c:v>
              </c:pt>
              <c:pt idx="3992">
                <c:v>0.15972600000000001</c:v>
              </c:pt>
              <c:pt idx="3993">
                <c:v>0.15976599999999999</c:v>
              </c:pt>
              <c:pt idx="3994">
                <c:v>0.159806</c:v>
              </c:pt>
              <c:pt idx="3995">
                <c:v>0.15984599999999999</c:v>
              </c:pt>
              <c:pt idx="3996">
                <c:v>0.159886</c:v>
              </c:pt>
              <c:pt idx="3997">
                <c:v>0.15992600000000001</c:v>
              </c:pt>
              <c:pt idx="3998">
                <c:v>0.159966</c:v>
              </c:pt>
              <c:pt idx="3999">
                <c:v>0.16000600000000001</c:v>
              </c:pt>
              <c:pt idx="4000">
                <c:v>0.16004599999999999</c:v>
              </c:pt>
              <c:pt idx="4001">
                <c:v>0.16008600000000001</c:v>
              </c:pt>
              <c:pt idx="4002">
                <c:v>0.16012599999999999</c:v>
              </c:pt>
              <c:pt idx="4003">
                <c:v>0.160166</c:v>
              </c:pt>
              <c:pt idx="4004">
                <c:v>0.16020599999999999</c:v>
              </c:pt>
              <c:pt idx="4005">
                <c:v>0.160246</c:v>
              </c:pt>
              <c:pt idx="4006">
                <c:v>0.16028600000000001</c:v>
              </c:pt>
              <c:pt idx="4007">
                <c:v>0.160326</c:v>
              </c:pt>
              <c:pt idx="4008">
                <c:v>0.16036600000000001</c:v>
              </c:pt>
              <c:pt idx="4009">
                <c:v>0.16040599999999999</c:v>
              </c:pt>
              <c:pt idx="4010">
                <c:v>0.16044600000000001</c:v>
              </c:pt>
              <c:pt idx="4011">
                <c:v>0.16048599999999999</c:v>
              </c:pt>
              <c:pt idx="4012">
                <c:v>0.160526</c:v>
              </c:pt>
              <c:pt idx="4013">
                <c:v>0.16056599999999999</c:v>
              </c:pt>
              <c:pt idx="4014">
                <c:v>0.160606</c:v>
              </c:pt>
              <c:pt idx="4015">
                <c:v>0.16064600000000001</c:v>
              </c:pt>
              <c:pt idx="4016">
                <c:v>0.160686</c:v>
              </c:pt>
              <c:pt idx="4017">
                <c:v>0.16072600000000001</c:v>
              </c:pt>
              <c:pt idx="4018">
                <c:v>0.16076599999999999</c:v>
              </c:pt>
              <c:pt idx="4019">
                <c:v>0.160806</c:v>
              </c:pt>
              <c:pt idx="4020">
                <c:v>0.16084599999999999</c:v>
              </c:pt>
              <c:pt idx="4021">
                <c:v>0.160886</c:v>
              </c:pt>
              <c:pt idx="4022">
                <c:v>0.16092600000000001</c:v>
              </c:pt>
              <c:pt idx="4023">
                <c:v>0.160966</c:v>
              </c:pt>
              <c:pt idx="4024">
                <c:v>0.16100600000000001</c:v>
              </c:pt>
              <c:pt idx="4025">
                <c:v>0.16104599999999999</c:v>
              </c:pt>
              <c:pt idx="4026">
                <c:v>0.16108600000000001</c:v>
              </c:pt>
              <c:pt idx="4027">
                <c:v>0.16112599999999999</c:v>
              </c:pt>
              <c:pt idx="4028">
                <c:v>0.161166</c:v>
              </c:pt>
              <c:pt idx="4029">
                <c:v>0.16120599999999999</c:v>
              </c:pt>
              <c:pt idx="4030">
                <c:v>0.161246</c:v>
              </c:pt>
              <c:pt idx="4031">
                <c:v>0.16128600000000001</c:v>
              </c:pt>
              <c:pt idx="4032">
                <c:v>0.161326</c:v>
              </c:pt>
              <c:pt idx="4033">
                <c:v>0.16136600000000001</c:v>
              </c:pt>
              <c:pt idx="4034">
                <c:v>0.16140599999999999</c:v>
              </c:pt>
              <c:pt idx="4035">
                <c:v>0.16144600000000001</c:v>
              </c:pt>
              <c:pt idx="4036">
                <c:v>0.16148599999999999</c:v>
              </c:pt>
              <c:pt idx="4037">
                <c:v>0.161526</c:v>
              </c:pt>
              <c:pt idx="4038">
                <c:v>0.16156599999999999</c:v>
              </c:pt>
              <c:pt idx="4039">
                <c:v>0.161606</c:v>
              </c:pt>
              <c:pt idx="4040">
                <c:v>0.16164600000000001</c:v>
              </c:pt>
              <c:pt idx="4041">
                <c:v>0.161686</c:v>
              </c:pt>
              <c:pt idx="4042">
                <c:v>0.16172600000000001</c:v>
              </c:pt>
              <c:pt idx="4043">
                <c:v>0.16176599999999999</c:v>
              </c:pt>
              <c:pt idx="4044">
                <c:v>0.16180600000000001</c:v>
              </c:pt>
              <c:pt idx="4045">
                <c:v>0.16184599999999999</c:v>
              </c:pt>
              <c:pt idx="4046">
                <c:v>0.161886</c:v>
              </c:pt>
              <c:pt idx="4047">
                <c:v>0.16192599999999999</c:v>
              </c:pt>
              <c:pt idx="4048">
                <c:v>0.161966</c:v>
              </c:pt>
              <c:pt idx="4049">
                <c:v>0.16200600000000001</c:v>
              </c:pt>
              <c:pt idx="4050">
                <c:v>0.162046</c:v>
              </c:pt>
              <c:pt idx="4051">
                <c:v>0.16208600000000001</c:v>
              </c:pt>
              <c:pt idx="4052">
                <c:v>0.16212599999999999</c:v>
              </c:pt>
              <c:pt idx="4053">
                <c:v>0.162166</c:v>
              </c:pt>
              <c:pt idx="4054">
                <c:v>0.16220599999999999</c:v>
              </c:pt>
              <c:pt idx="4055">
                <c:v>0.162246</c:v>
              </c:pt>
              <c:pt idx="4056">
                <c:v>0.16228600000000001</c:v>
              </c:pt>
              <c:pt idx="4057">
                <c:v>0.162326</c:v>
              </c:pt>
              <c:pt idx="4058">
                <c:v>0.16236600000000001</c:v>
              </c:pt>
              <c:pt idx="4059">
                <c:v>0.16240599999999999</c:v>
              </c:pt>
              <c:pt idx="4060">
                <c:v>0.16244600000000001</c:v>
              </c:pt>
              <c:pt idx="4061">
                <c:v>0.16248599999999999</c:v>
              </c:pt>
              <c:pt idx="4062">
                <c:v>0.162526</c:v>
              </c:pt>
              <c:pt idx="4063">
                <c:v>0.16256599999999999</c:v>
              </c:pt>
              <c:pt idx="4064">
                <c:v>0.162606</c:v>
              </c:pt>
              <c:pt idx="4065">
                <c:v>0.16264600000000001</c:v>
              </c:pt>
              <c:pt idx="4066">
                <c:v>0.162686</c:v>
              </c:pt>
              <c:pt idx="4067">
                <c:v>0.16272600000000001</c:v>
              </c:pt>
              <c:pt idx="4068">
                <c:v>0.16276599999999999</c:v>
              </c:pt>
              <c:pt idx="4069">
                <c:v>0.16280600000000001</c:v>
              </c:pt>
              <c:pt idx="4070">
                <c:v>0.16284599999999999</c:v>
              </c:pt>
              <c:pt idx="4071">
                <c:v>0.162886</c:v>
              </c:pt>
              <c:pt idx="4072">
                <c:v>0.16292599999999999</c:v>
              </c:pt>
              <c:pt idx="4073">
                <c:v>0.162966</c:v>
              </c:pt>
              <c:pt idx="4074">
                <c:v>0.16300600000000001</c:v>
              </c:pt>
              <c:pt idx="4075">
                <c:v>0.163046</c:v>
              </c:pt>
              <c:pt idx="4076">
                <c:v>0.16308600000000001</c:v>
              </c:pt>
              <c:pt idx="4077">
                <c:v>0.16312599999999999</c:v>
              </c:pt>
              <c:pt idx="4078">
                <c:v>0.16316600000000001</c:v>
              </c:pt>
              <c:pt idx="4079">
                <c:v>0.16320599999999999</c:v>
              </c:pt>
              <c:pt idx="4080">
                <c:v>0.163246</c:v>
              </c:pt>
              <c:pt idx="4081">
                <c:v>0.16328599999999999</c:v>
              </c:pt>
              <c:pt idx="4082">
                <c:v>0.163326</c:v>
              </c:pt>
              <c:pt idx="4083">
                <c:v>0.16336600000000001</c:v>
              </c:pt>
              <c:pt idx="4084">
                <c:v>0.163406</c:v>
              </c:pt>
              <c:pt idx="4085">
                <c:v>0.16344600000000001</c:v>
              </c:pt>
              <c:pt idx="4086">
                <c:v>0.16348599999999999</c:v>
              </c:pt>
              <c:pt idx="4087">
                <c:v>0.163526</c:v>
              </c:pt>
              <c:pt idx="4088">
                <c:v>0.16356599999999999</c:v>
              </c:pt>
              <c:pt idx="4089">
                <c:v>0.163606</c:v>
              </c:pt>
              <c:pt idx="4090">
                <c:v>0.16364600000000001</c:v>
              </c:pt>
              <c:pt idx="4091">
                <c:v>0.163686</c:v>
              </c:pt>
              <c:pt idx="4092">
                <c:v>0.16372600000000001</c:v>
              </c:pt>
              <c:pt idx="4093">
                <c:v>0.16376599999999999</c:v>
              </c:pt>
              <c:pt idx="4094">
                <c:v>0.16380600000000001</c:v>
              </c:pt>
              <c:pt idx="4095">
                <c:v>0.16384599999999999</c:v>
              </c:pt>
              <c:pt idx="4096">
                <c:v>0.163886</c:v>
              </c:pt>
              <c:pt idx="4097">
                <c:v>0.16392599999999999</c:v>
              </c:pt>
              <c:pt idx="4098">
                <c:v>0.163966</c:v>
              </c:pt>
              <c:pt idx="4099">
                <c:v>0.16400600000000001</c:v>
              </c:pt>
              <c:pt idx="4100">
                <c:v>0.164046</c:v>
              </c:pt>
              <c:pt idx="4101">
                <c:v>0.16408600000000001</c:v>
              </c:pt>
              <c:pt idx="4102">
                <c:v>0.16412599999999999</c:v>
              </c:pt>
              <c:pt idx="4103">
                <c:v>0.16416600000000001</c:v>
              </c:pt>
              <c:pt idx="4104">
                <c:v>0.16420599999999999</c:v>
              </c:pt>
              <c:pt idx="4105">
                <c:v>0.164246</c:v>
              </c:pt>
              <c:pt idx="4106">
                <c:v>0.16428599999999999</c:v>
              </c:pt>
              <c:pt idx="4107">
                <c:v>0.164326</c:v>
              </c:pt>
              <c:pt idx="4108">
                <c:v>0.16436600000000001</c:v>
              </c:pt>
              <c:pt idx="4109">
                <c:v>0.164406</c:v>
              </c:pt>
              <c:pt idx="4110">
                <c:v>0.16444600000000001</c:v>
              </c:pt>
              <c:pt idx="4111">
                <c:v>0.16448599999999999</c:v>
              </c:pt>
              <c:pt idx="4112">
                <c:v>0.16452600000000001</c:v>
              </c:pt>
              <c:pt idx="4113">
                <c:v>0.16456599999999999</c:v>
              </c:pt>
              <c:pt idx="4114">
                <c:v>0.164606</c:v>
              </c:pt>
              <c:pt idx="4115">
                <c:v>0.16464599999999999</c:v>
              </c:pt>
              <c:pt idx="4116">
                <c:v>0.164686</c:v>
              </c:pt>
              <c:pt idx="4117">
                <c:v>0.16472600000000001</c:v>
              </c:pt>
              <c:pt idx="4118">
                <c:v>0.164766</c:v>
              </c:pt>
              <c:pt idx="4119">
                <c:v>0.16480600000000001</c:v>
              </c:pt>
              <c:pt idx="4120">
                <c:v>0.16484599999999999</c:v>
              </c:pt>
              <c:pt idx="4121">
                <c:v>0.164886</c:v>
              </c:pt>
              <c:pt idx="4122">
                <c:v>0.16492599999999999</c:v>
              </c:pt>
              <c:pt idx="4123">
                <c:v>0.164966</c:v>
              </c:pt>
              <c:pt idx="4124">
                <c:v>0.16500600000000001</c:v>
              </c:pt>
              <c:pt idx="4125">
                <c:v>0.165046</c:v>
              </c:pt>
              <c:pt idx="4126">
                <c:v>0.16508600000000001</c:v>
              </c:pt>
              <c:pt idx="4127">
                <c:v>0.165126</c:v>
              </c:pt>
              <c:pt idx="4128">
                <c:v>0.16516600000000001</c:v>
              </c:pt>
              <c:pt idx="4129">
                <c:v>0.16520599999999999</c:v>
              </c:pt>
              <c:pt idx="4130">
                <c:v>0.165246</c:v>
              </c:pt>
              <c:pt idx="4131">
                <c:v>0.16528599999999999</c:v>
              </c:pt>
              <c:pt idx="4132">
                <c:v>0.165326</c:v>
              </c:pt>
              <c:pt idx="4133">
                <c:v>0.16536600000000001</c:v>
              </c:pt>
              <c:pt idx="4134">
                <c:v>0.165406</c:v>
              </c:pt>
              <c:pt idx="4135">
                <c:v>0.16544600000000001</c:v>
              </c:pt>
              <c:pt idx="4136">
                <c:v>0.16548599999999999</c:v>
              </c:pt>
              <c:pt idx="4137">
                <c:v>0.16552600000000001</c:v>
              </c:pt>
              <c:pt idx="4138">
                <c:v>0.16556599999999999</c:v>
              </c:pt>
              <c:pt idx="4139">
                <c:v>0.165606</c:v>
              </c:pt>
              <c:pt idx="4140">
                <c:v>0.16564599999999999</c:v>
              </c:pt>
              <c:pt idx="4141">
                <c:v>0.165686</c:v>
              </c:pt>
              <c:pt idx="4142">
                <c:v>0.16572600000000001</c:v>
              </c:pt>
              <c:pt idx="4143">
                <c:v>0.165766</c:v>
              </c:pt>
              <c:pt idx="4144">
                <c:v>0.16580600000000001</c:v>
              </c:pt>
              <c:pt idx="4145">
                <c:v>0.16584599999999999</c:v>
              </c:pt>
              <c:pt idx="4146">
                <c:v>0.16588600000000001</c:v>
              </c:pt>
              <c:pt idx="4147">
                <c:v>0.16592599999999999</c:v>
              </c:pt>
              <c:pt idx="4148">
                <c:v>0.165966</c:v>
              </c:pt>
              <c:pt idx="4149">
                <c:v>0.16600599999999999</c:v>
              </c:pt>
              <c:pt idx="4150">
                <c:v>0.166046</c:v>
              </c:pt>
              <c:pt idx="4151">
                <c:v>0.16608600000000001</c:v>
              </c:pt>
              <c:pt idx="4152">
                <c:v>0.166126</c:v>
              </c:pt>
              <c:pt idx="4153">
                <c:v>0.16616600000000001</c:v>
              </c:pt>
              <c:pt idx="4154">
                <c:v>0.16620599999999999</c:v>
              </c:pt>
              <c:pt idx="4155">
                <c:v>0.166246</c:v>
              </c:pt>
              <c:pt idx="4156">
                <c:v>0.16628599999999999</c:v>
              </c:pt>
              <c:pt idx="4157">
                <c:v>0.166326</c:v>
              </c:pt>
              <c:pt idx="4158">
                <c:v>0.16636600000000001</c:v>
              </c:pt>
              <c:pt idx="4159">
                <c:v>0.166406</c:v>
              </c:pt>
              <c:pt idx="4160">
                <c:v>0.16644600000000001</c:v>
              </c:pt>
              <c:pt idx="4161">
                <c:v>0.166486</c:v>
              </c:pt>
              <c:pt idx="4162">
                <c:v>0.16652600000000001</c:v>
              </c:pt>
              <c:pt idx="4163">
                <c:v>0.16656599999999999</c:v>
              </c:pt>
              <c:pt idx="4164">
                <c:v>0.166606</c:v>
              </c:pt>
              <c:pt idx="4165">
                <c:v>0.16664599999999999</c:v>
              </c:pt>
              <c:pt idx="4166">
                <c:v>0.166686</c:v>
              </c:pt>
              <c:pt idx="4167">
                <c:v>0.16672600000000001</c:v>
              </c:pt>
              <c:pt idx="4168">
                <c:v>0.166766</c:v>
              </c:pt>
              <c:pt idx="4169">
                <c:v>0.16680600000000001</c:v>
              </c:pt>
              <c:pt idx="4170">
                <c:v>0.16684599999999999</c:v>
              </c:pt>
              <c:pt idx="4171">
                <c:v>0.16688600000000001</c:v>
              </c:pt>
              <c:pt idx="4172">
                <c:v>0.16692599999999999</c:v>
              </c:pt>
              <c:pt idx="4173">
                <c:v>0.166966</c:v>
              </c:pt>
              <c:pt idx="4174">
                <c:v>0.16700599999999999</c:v>
              </c:pt>
              <c:pt idx="4175">
                <c:v>0.167046</c:v>
              </c:pt>
              <c:pt idx="4176">
                <c:v>0.16708600000000001</c:v>
              </c:pt>
              <c:pt idx="4177">
                <c:v>0.167126</c:v>
              </c:pt>
              <c:pt idx="4178">
                <c:v>0.16716600000000001</c:v>
              </c:pt>
              <c:pt idx="4179">
                <c:v>0.16720599999999999</c:v>
              </c:pt>
              <c:pt idx="4180">
                <c:v>0.16724600000000001</c:v>
              </c:pt>
              <c:pt idx="4181">
                <c:v>0.16728599999999999</c:v>
              </c:pt>
              <c:pt idx="4182">
                <c:v>0.167326</c:v>
              </c:pt>
              <c:pt idx="4183">
                <c:v>0.16736599999999999</c:v>
              </c:pt>
              <c:pt idx="4184">
                <c:v>0.167406</c:v>
              </c:pt>
              <c:pt idx="4185">
                <c:v>0.16744600000000001</c:v>
              </c:pt>
              <c:pt idx="4186">
                <c:v>0.167486</c:v>
              </c:pt>
              <c:pt idx="4187">
                <c:v>0.16752600000000001</c:v>
              </c:pt>
              <c:pt idx="4188">
                <c:v>0.16756599999999999</c:v>
              </c:pt>
              <c:pt idx="4189">
                <c:v>0.167606</c:v>
              </c:pt>
              <c:pt idx="4190">
                <c:v>0.16764599999999999</c:v>
              </c:pt>
              <c:pt idx="4191">
                <c:v>0.167686</c:v>
              </c:pt>
              <c:pt idx="4192">
                <c:v>0.16772599999999999</c:v>
              </c:pt>
              <c:pt idx="4193">
                <c:v>0.167766</c:v>
              </c:pt>
              <c:pt idx="4194">
                <c:v>0.16780600000000001</c:v>
              </c:pt>
              <c:pt idx="4195">
                <c:v>0.167846</c:v>
              </c:pt>
              <c:pt idx="4196">
                <c:v>0.16788600000000001</c:v>
              </c:pt>
              <c:pt idx="4197">
                <c:v>0.16792599999999999</c:v>
              </c:pt>
              <c:pt idx="4198">
                <c:v>0.167966</c:v>
              </c:pt>
              <c:pt idx="4199">
                <c:v>0.16800599999999999</c:v>
              </c:pt>
              <c:pt idx="4200">
                <c:v>0.168046</c:v>
              </c:pt>
              <c:pt idx="4201">
                <c:v>0.16808600000000001</c:v>
              </c:pt>
              <c:pt idx="4202">
                <c:v>0.168126</c:v>
              </c:pt>
              <c:pt idx="4203">
                <c:v>0.16816600000000001</c:v>
              </c:pt>
              <c:pt idx="4204">
                <c:v>0.16820599999999999</c:v>
              </c:pt>
              <c:pt idx="4205">
                <c:v>0.16824600000000001</c:v>
              </c:pt>
              <c:pt idx="4206">
                <c:v>0.16828599999999999</c:v>
              </c:pt>
              <c:pt idx="4207">
                <c:v>0.168326</c:v>
              </c:pt>
              <c:pt idx="4208">
                <c:v>0.16836599999999999</c:v>
              </c:pt>
              <c:pt idx="4209">
                <c:v>0.168406</c:v>
              </c:pt>
              <c:pt idx="4210">
                <c:v>0.16844600000000001</c:v>
              </c:pt>
              <c:pt idx="4211">
                <c:v>0.168486</c:v>
              </c:pt>
              <c:pt idx="4212">
                <c:v>0.16852600000000001</c:v>
              </c:pt>
              <c:pt idx="4213">
                <c:v>0.16856599999999999</c:v>
              </c:pt>
              <c:pt idx="4214">
                <c:v>0.16860600000000001</c:v>
              </c:pt>
              <c:pt idx="4215">
                <c:v>0.16864599999999999</c:v>
              </c:pt>
              <c:pt idx="4216">
                <c:v>0.168686</c:v>
              </c:pt>
              <c:pt idx="4217">
                <c:v>0.16872599999999999</c:v>
              </c:pt>
              <c:pt idx="4218">
                <c:v>0.168766</c:v>
              </c:pt>
              <c:pt idx="4219">
                <c:v>0.16880600000000001</c:v>
              </c:pt>
              <c:pt idx="4220">
                <c:v>0.168846</c:v>
              </c:pt>
              <c:pt idx="4221">
                <c:v>0.16888600000000001</c:v>
              </c:pt>
              <c:pt idx="4222">
                <c:v>0.16892599999999999</c:v>
              </c:pt>
              <c:pt idx="4223">
                <c:v>0.16896600000000001</c:v>
              </c:pt>
              <c:pt idx="4224">
                <c:v>0.16900599999999999</c:v>
              </c:pt>
              <c:pt idx="4225">
                <c:v>0.169046</c:v>
              </c:pt>
              <c:pt idx="4226">
                <c:v>0.16908599999999999</c:v>
              </c:pt>
              <c:pt idx="4227">
                <c:v>0.169126</c:v>
              </c:pt>
              <c:pt idx="4228">
                <c:v>0.16916600000000001</c:v>
              </c:pt>
              <c:pt idx="4229">
                <c:v>0.169206</c:v>
              </c:pt>
              <c:pt idx="4230">
                <c:v>0.16924600000000001</c:v>
              </c:pt>
              <c:pt idx="4231">
                <c:v>0.16928599999999999</c:v>
              </c:pt>
              <c:pt idx="4232">
                <c:v>0.169326</c:v>
              </c:pt>
              <c:pt idx="4233">
                <c:v>0.16936599999999999</c:v>
              </c:pt>
              <c:pt idx="4234">
                <c:v>0.169406</c:v>
              </c:pt>
              <c:pt idx="4235">
                <c:v>0.16944600000000001</c:v>
              </c:pt>
              <c:pt idx="4236">
                <c:v>0.169486</c:v>
              </c:pt>
              <c:pt idx="4237">
                <c:v>0.16952600000000001</c:v>
              </c:pt>
              <c:pt idx="4238">
                <c:v>0.16956499999999999</c:v>
              </c:pt>
              <c:pt idx="4239">
                <c:v>0.16960500000000001</c:v>
              </c:pt>
              <c:pt idx="4240">
                <c:v>0.16964499999999999</c:v>
              </c:pt>
              <c:pt idx="4241">
                <c:v>0.169685</c:v>
              </c:pt>
              <c:pt idx="4242">
                <c:v>0.16972499999999999</c:v>
              </c:pt>
              <c:pt idx="4243">
                <c:v>0.169765</c:v>
              </c:pt>
              <c:pt idx="4244">
                <c:v>0.16980500000000001</c:v>
              </c:pt>
              <c:pt idx="4245">
                <c:v>0.169845</c:v>
              </c:pt>
              <c:pt idx="4246">
                <c:v>0.16988500000000001</c:v>
              </c:pt>
              <c:pt idx="4247">
                <c:v>0.16992499999999999</c:v>
              </c:pt>
              <c:pt idx="4248">
                <c:v>0.169965</c:v>
              </c:pt>
              <c:pt idx="4249">
                <c:v>0.17000499999999999</c:v>
              </c:pt>
              <c:pt idx="4250">
                <c:v>0.170045</c:v>
              </c:pt>
              <c:pt idx="4251">
                <c:v>0.17008499999999999</c:v>
              </c:pt>
              <c:pt idx="4252">
                <c:v>0.170125</c:v>
              </c:pt>
              <c:pt idx="4253">
                <c:v>0.17016500000000001</c:v>
              </c:pt>
              <c:pt idx="4254">
                <c:v>0.170205</c:v>
              </c:pt>
              <c:pt idx="4255">
                <c:v>0.17024500000000001</c:v>
              </c:pt>
              <c:pt idx="4256">
                <c:v>0.17028499999999999</c:v>
              </c:pt>
              <c:pt idx="4257">
                <c:v>0.170325</c:v>
              </c:pt>
              <c:pt idx="4258">
                <c:v>0.17036499999999999</c:v>
              </c:pt>
              <c:pt idx="4259">
                <c:v>0.170405</c:v>
              </c:pt>
              <c:pt idx="4260">
                <c:v>0.17044500000000001</c:v>
              </c:pt>
              <c:pt idx="4261">
                <c:v>0.170485</c:v>
              </c:pt>
              <c:pt idx="4262">
                <c:v>0.17052500000000001</c:v>
              </c:pt>
              <c:pt idx="4263">
                <c:v>0.17056499999999999</c:v>
              </c:pt>
              <c:pt idx="4264">
                <c:v>0.17060500000000001</c:v>
              </c:pt>
              <c:pt idx="4265">
                <c:v>0.17064499999999999</c:v>
              </c:pt>
              <c:pt idx="4266">
                <c:v>0.170685</c:v>
              </c:pt>
              <c:pt idx="4267">
                <c:v>0.17072499999999999</c:v>
              </c:pt>
              <c:pt idx="4268">
                <c:v>0.170765</c:v>
              </c:pt>
              <c:pt idx="4269">
                <c:v>0.17080500000000001</c:v>
              </c:pt>
              <c:pt idx="4270">
                <c:v>0.170845</c:v>
              </c:pt>
              <c:pt idx="4271">
                <c:v>0.17088500000000001</c:v>
              </c:pt>
              <c:pt idx="4272">
                <c:v>0.17092499999999999</c:v>
              </c:pt>
              <c:pt idx="4273">
                <c:v>0.17096500000000001</c:v>
              </c:pt>
              <c:pt idx="4274">
                <c:v>0.17100499999999999</c:v>
              </c:pt>
              <c:pt idx="4275">
                <c:v>0.171045</c:v>
              </c:pt>
              <c:pt idx="4276">
                <c:v>0.17108499999999999</c:v>
              </c:pt>
              <c:pt idx="4277">
                <c:v>0.171125</c:v>
              </c:pt>
              <c:pt idx="4278">
                <c:v>0.17116500000000001</c:v>
              </c:pt>
              <c:pt idx="4279">
                <c:v>0.171205</c:v>
              </c:pt>
              <c:pt idx="4280">
                <c:v>0.17124500000000001</c:v>
              </c:pt>
              <c:pt idx="4281">
                <c:v>0.17128499999999999</c:v>
              </c:pt>
              <c:pt idx="4282">
                <c:v>0.17132500000000001</c:v>
              </c:pt>
              <c:pt idx="4283">
                <c:v>0.17136499999999999</c:v>
              </c:pt>
              <c:pt idx="4284">
                <c:v>0.171405</c:v>
              </c:pt>
              <c:pt idx="4285">
                <c:v>0.17144499999999999</c:v>
              </c:pt>
              <c:pt idx="4286">
                <c:v>0.171485</c:v>
              </c:pt>
              <c:pt idx="4287">
                <c:v>0.17152500000000001</c:v>
              </c:pt>
              <c:pt idx="4288">
                <c:v>0.171565</c:v>
              </c:pt>
              <c:pt idx="4289">
                <c:v>0.17160500000000001</c:v>
              </c:pt>
              <c:pt idx="4290">
                <c:v>0.17164499999999999</c:v>
              </c:pt>
              <c:pt idx="4291">
                <c:v>0.171685</c:v>
              </c:pt>
              <c:pt idx="4292">
                <c:v>0.17172499999999999</c:v>
              </c:pt>
              <c:pt idx="4293">
                <c:v>0.171765</c:v>
              </c:pt>
              <c:pt idx="4294">
                <c:v>0.17180500000000001</c:v>
              </c:pt>
              <c:pt idx="4295">
                <c:v>0.171845</c:v>
              </c:pt>
              <c:pt idx="4296">
                <c:v>0.17188500000000001</c:v>
              </c:pt>
              <c:pt idx="4297">
                <c:v>0.17192499999999999</c:v>
              </c:pt>
              <c:pt idx="4298">
                <c:v>0.17196500000000001</c:v>
              </c:pt>
              <c:pt idx="4299">
                <c:v>0.17200499999999999</c:v>
              </c:pt>
              <c:pt idx="4300">
                <c:v>0.172045</c:v>
              </c:pt>
              <c:pt idx="4301">
                <c:v>0.17208499999999999</c:v>
              </c:pt>
              <c:pt idx="4302">
                <c:v>0.172125</c:v>
              </c:pt>
              <c:pt idx="4303">
                <c:v>0.17216500000000001</c:v>
              </c:pt>
              <c:pt idx="4304">
                <c:v>0.172205</c:v>
              </c:pt>
              <c:pt idx="4305">
                <c:v>0.17224500000000001</c:v>
              </c:pt>
              <c:pt idx="4306">
                <c:v>0.17228499999999999</c:v>
              </c:pt>
              <c:pt idx="4307">
                <c:v>0.17232500000000001</c:v>
              </c:pt>
              <c:pt idx="4308">
                <c:v>0.17236499999999999</c:v>
              </c:pt>
              <c:pt idx="4309">
                <c:v>0.172405</c:v>
              </c:pt>
              <c:pt idx="4310">
                <c:v>0.17244399999999999</c:v>
              </c:pt>
              <c:pt idx="4311">
                <c:v>0.172484</c:v>
              </c:pt>
              <c:pt idx="4312">
                <c:v>0.17252400000000001</c:v>
              </c:pt>
              <c:pt idx="4313">
                <c:v>0.172564</c:v>
              </c:pt>
              <c:pt idx="4314">
                <c:v>0.17260400000000001</c:v>
              </c:pt>
              <c:pt idx="4315">
                <c:v>0.17264399999999999</c:v>
              </c:pt>
              <c:pt idx="4316">
                <c:v>0.172684</c:v>
              </c:pt>
            </c:numLit>
          </c:xVal>
          <c:yVal>
            <c:numLit>
              <c:formatCode>General</c:formatCode>
              <c:ptCount val="5053"/>
              <c:pt idx="0">
                <c:v>-0.62375700000000034</c:v>
              </c:pt>
              <c:pt idx="1">
                <c:v>-1.2475130000000005</c:v>
              </c:pt>
              <c:pt idx="2">
                <c:v>-1.8712700000000009</c:v>
              </c:pt>
              <c:pt idx="3">
                <c:v>-2.4950279999999996</c:v>
              </c:pt>
              <c:pt idx="4">
                <c:v>-3.1187959999999992</c:v>
              </c:pt>
              <c:pt idx="5">
                <c:v>-3.7425549</c:v>
              </c:pt>
              <c:pt idx="6">
                <c:v>-4.3663139999999991</c:v>
              </c:pt>
              <c:pt idx="7">
                <c:v>-4.9900750000000009</c:v>
              </c:pt>
              <c:pt idx="8">
                <c:v>-5.6138260000000013</c:v>
              </c:pt>
              <c:pt idx="9">
                <c:v>-6.2375869999999995</c:v>
              </c:pt>
              <c:pt idx="10">
                <c:v>-6.8613490000000006</c:v>
              </c:pt>
              <c:pt idx="11">
                <c:v>-7.485100000000001</c:v>
              </c:pt>
              <c:pt idx="12">
                <c:v>-8.1088699999999996</c:v>
              </c:pt>
              <c:pt idx="13">
                <c:v>-8.7326199999999989</c:v>
              </c:pt>
              <c:pt idx="14">
                <c:v>-9.3563800000000015</c:v>
              </c:pt>
              <c:pt idx="15">
                <c:v>-9.9801500000000001</c:v>
              </c:pt>
              <c:pt idx="16">
                <c:v>-10.588289999999999</c:v>
              </c:pt>
              <c:pt idx="17">
                <c:v>-11.188359999999999</c:v>
              </c:pt>
              <c:pt idx="18">
                <c:v>-11.78843</c:v>
              </c:pt>
              <c:pt idx="19">
                <c:v>-12.38851</c:v>
              </c:pt>
              <c:pt idx="20">
                <c:v>-12.988569999999999</c:v>
              </c:pt>
              <c:pt idx="21">
                <c:v>-13.58864</c:v>
              </c:pt>
              <c:pt idx="22">
                <c:v>-14.18872</c:v>
              </c:pt>
              <c:pt idx="23">
                <c:v>-14.788789999999999</c:v>
              </c:pt>
              <c:pt idx="24">
                <c:v>-15.388869999999999</c:v>
              </c:pt>
              <c:pt idx="25">
                <c:v>-15.988939999999999</c:v>
              </c:pt>
              <c:pt idx="26">
                <c:v>-16.589010000000002</c:v>
              </c:pt>
              <c:pt idx="27">
                <c:v>-17.18909</c:v>
              </c:pt>
              <c:pt idx="28">
                <c:v>-17.789149999999999</c:v>
              </c:pt>
              <c:pt idx="29">
                <c:v>-18.389220000000002</c:v>
              </c:pt>
              <c:pt idx="30">
                <c:v>-18.9893</c:v>
              </c:pt>
              <c:pt idx="31">
                <c:v>-19.589369999999999</c:v>
              </c:pt>
              <c:pt idx="32">
                <c:v>-20.189440000000001</c:v>
              </c:pt>
              <c:pt idx="33">
                <c:v>-20.78952</c:v>
              </c:pt>
              <c:pt idx="34">
                <c:v>-21.389590999999999</c:v>
              </c:pt>
              <c:pt idx="35">
                <c:v>-21.989674999999998</c:v>
              </c:pt>
              <c:pt idx="36">
                <c:v>-22.567727000000001</c:v>
              </c:pt>
              <c:pt idx="37">
                <c:v>-23.144063000000003</c:v>
              </c:pt>
              <c:pt idx="38">
                <c:v>-23.706706000000001</c:v>
              </c:pt>
              <c:pt idx="39">
                <c:v>-24.268414</c:v>
              </c:pt>
              <c:pt idx="40">
                <c:v>-24.830046000000003</c:v>
              </c:pt>
              <c:pt idx="41">
                <c:v>-25.391680100000002</c:v>
              </c:pt>
              <c:pt idx="42">
                <c:v>-25.953327700000003</c:v>
              </c:pt>
              <c:pt idx="43">
                <c:v>-26.514968</c:v>
              </c:pt>
              <c:pt idx="44">
                <c:v>-27.076622</c:v>
              </c:pt>
              <c:pt idx="45">
                <c:v>-27.638259000000001</c:v>
              </c:pt>
              <c:pt idx="46">
                <c:v>-28.199919000000001</c:v>
              </c:pt>
              <c:pt idx="47">
                <c:v>-28.761572000000001</c:v>
              </c:pt>
              <c:pt idx="48">
                <c:v>-29.323217999999997</c:v>
              </c:pt>
              <c:pt idx="49">
                <c:v>-29.884879999999999</c:v>
              </c:pt>
              <c:pt idx="50">
                <c:v>-30.430870000000002</c:v>
              </c:pt>
              <c:pt idx="51">
                <c:v>-30.970860000000002</c:v>
              </c:pt>
              <c:pt idx="52">
                <c:v>-31.510849999999998</c:v>
              </c:pt>
              <c:pt idx="53">
                <c:v>-32.050829999999998</c:v>
              </c:pt>
              <c:pt idx="54">
                <c:v>-32.590730000000001</c:v>
              </c:pt>
              <c:pt idx="55">
                <c:v>-33.130769999999998</c:v>
              </c:pt>
              <c:pt idx="56">
                <c:v>-33.67069</c:v>
              </c:pt>
              <c:pt idx="57">
                <c:v>-34.210709999999999</c:v>
              </c:pt>
              <c:pt idx="58">
                <c:v>-34.750749999999996</c:v>
              </c:pt>
              <c:pt idx="59">
                <c:v>-35.290750000000003</c:v>
              </c:pt>
              <c:pt idx="60">
                <c:v>-35.830640000000002</c:v>
              </c:pt>
              <c:pt idx="61">
                <c:v>-36.370640000000002</c:v>
              </c:pt>
              <c:pt idx="62">
                <c:v>-36.910640000000001</c:v>
              </c:pt>
              <c:pt idx="63">
                <c:v>-37.450640000000007</c:v>
              </c:pt>
              <c:pt idx="64">
                <c:v>-37.982460000000003</c:v>
              </c:pt>
              <c:pt idx="65">
                <c:v>-38.489789999999999</c:v>
              </c:pt>
              <c:pt idx="66">
                <c:v>-38.997129999999999</c:v>
              </c:pt>
              <c:pt idx="67">
                <c:v>-39.504469999999998</c:v>
              </c:pt>
              <c:pt idx="68">
                <c:v>-40.011710000000001</c:v>
              </c:pt>
              <c:pt idx="69">
                <c:v>-40.499969999999998</c:v>
              </c:pt>
              <c:pt idx="70">
                <c:v>-40.981990000000003</c:v>
              </c:pt>
              <c:pt idx="71">
                <c:v>-41.463819999999998</c:v>
              </c:pt>
              <c:pt idx="72">
                <c:v>-41.945750000000004</c:v>
              </c:pt>
              <c:pt idx="73">
                <c:v>-42.427580000000006</c:v>
              </c:pt>
              <c:pt idx="74">
                <c:v>-42.909419999999997</c:v>
              </c:pt>
              <c:pt idx="75">
                <c:v>-43.391460000000002</c:v>
              </c:pt>
              <c:pt idx="76">
                <c:v>-43.873190000000001</c:v>
              </c:pt>
              <c:pt idx="77">
                <c:v>-44.355239999999995</c:v>
              </c:pt>
              <c:pt idx="78">
                <c:v>-44.83708</c:v>
              </c:pt>
              <c:pt idx="79">
                <c:v>-45.318930000000002</c:v>
              </c:pt>
              <c:pt idx="80">
                <c:v>-45.800879999999999</c:v>
              </c:pt>
              <c:pt idx="81">
                <c:v>-46.282829999999997</c:v>
              </c:pt>
              <c:pt idx="82">
                <c:v>-46.764589999999998</c:v>
              </c:pt>
              <c:pt idx="83">
                <c:v>-47.246639999999999</c:v>
              </c:pt>
              <c:pt idx="84">
                <c:v>-47.728499999999997</c:v>
              </c:pt>
              <c:pt idx="85">
                <c:v>-48.210359999999994</c:v>
              </c:pt>
              <c:pt idx="86">
                <c:v>-48.692230000000002</c:v>
              </c:pt>
              <c:pt idx="87">
                <c:v>-49.174199999999999</c:v>
              </c:pt>
              <c:pt idx="88">
                <c:v>-49.65607</c:v>
              </c:pt>
              <c:pt idx="89">
                <c:v>-50.129890000000003</c:v>
              </c:pt>
              <c:pt idx="90">
                <c:v>-50.58954</c:v>
              </c:pt>
              <c:pt idx="91">
                <c:v>-51.049199999999999</c:v>
              </c:pt>
              <c:pt idx="92">
                <c:v>-51.509590000000003</c:v>
              </c:pt>
              <c:pt idx="93">
                <c:v>-51.970410000000001</c:v>
              </c:pt>
              <c:pt idx="94">
                <c:v>-52.431029999999993</c:v>
              </c:pt>
              <c:pt idx="95">
                <c:v>-52.891849999999998</c:v>
              </c:pt>
              <c:pt idx="96">
                <c:v>-53.352469999999997</c:v>
              </c:pt>
              <c:pt idx="97">
                <c:v>-53.813299999999998</c:v>
              </c:pt>
              <c:pt idx="98">
                <c:v>-54.27402</c:v>
              </c:pt>
              <c:pt idx="99">
                <c:v>-54.734750000000005</c:v>
              </c:pt>
              <c:pt idx="100">
                <c:v>-55.19538</c:v>
              </c:pt>
              <c:pt idx="101">
                <c:v>-55.656220000000005</c:v>
              </c:pt>
              <c:pt idx="102">
                <c:v>-56.116949999999996</c:v>
              </c:pt>
              <c:pt idx="103">
                <c:v>-56.577690000000004</c:v>
              </c:pt>
              <c:pt idx="104">
                <c:v>-57.038430000000005</c:v>
              </c:pt>
              <c:pt idx="105">
                <c:v>-57.499069999999996</c:v>
              </c:pt>
              <c:pt idx="106">
                <c:v>-57.958849999999998</c:v>
              </c:pt>
              <c:pt idx="107">
                <c:v>-58.414339999999996</c:v>
              </c:pt>
              <c:pt idx="108">
                <c:v>-58.865219999999994</c:v>
              </c:pt>
              <c:pt idx="109">
                <c:v>-59.314329999999998</c:v>
              </c:pt>
              <c:pt idx="110">
                <c:v>-59.754889999999996</c:v>
              </c:pt>
              <c:pt idx="111">
                <c:v>-60.195250000000001</c:v>
              </c:pt>
              <c:pt idx="112">
                <c:v>-60.635510000000004</c:v>
              </c:pt>
              <c:pt idx="113">
                <c:v>-61.076080000000005</c:v>
              </c:pt>
              <c:pt idx="114">
                <c:v>-61.516450000000006</c:v>
              </c:pt>
              <c:pt idx="115">
                <c:v>-61.95682</c:v>
              </c:pt>
              <c:pt idx="116">
                <c:v>-62.397189999999995</c:v>
              </c:pt>
              <c:pt idx="117">
                <c:v>-62.837670000000003</c:v>
              </c:pt>
              <c:pt idx="118">
                <c:v>-63.278040000000004</c:v>
              </c:pt>
              <c:pt idx="119">
                <c:v>-63.718519999999998</c:v>
              </c:pt>
              <c:pt idx="120">
                <c:v>-64.158799999999999</c:v>
              </c:pt>
              <c:pt idx="121">
                <c:v>-64.598119999999994</c:v>
              </c:pt>
              <c:pt idx="122">
                <c:v>-65.032070000000004</c:v>
              </c:pt>
              <c:pt idx="123">
                <c:v>-65.455449999999999</c:v>
              </c:pt>
              <c:pt idx="124">
                <c:v>-65.878840000000011</c:v>
              </c:pt>
              <c:pt idx="125">
                <c:v>-66.302220000000005</c:v>
              </c:pt>
              <c:pt idx="126">
                <c:v>-66.725710000000007</c:v>
              </c:pt>
              <c:pt idx="127">
                <c:v>-67.144660000000002</c:v>
              </c:pt>
              <c:pt idx="128">
                <c:v>-67.549810000000008</c:v>
              </c:pt>
              <c:pt idx="129">
                <c:v>-67.95487</c:v>
              </c:pt>
              <c:pt idx="130">
                <c:v>-68.359839999999991</c:v>
              </c:pt>
              <c:pt idx="131">
                <c:v>-68.764899999999997</c:v>
              </c:pt>
              <c:pt idx="132">
                <c:v>-69.169749999999993</c:v>
              </c:pt>
              <c:pt idx="133">
                <c:v>-69.565840000000009</c:v>
              </c:pt>
              <c:pt idx="134">
                <c:v>-69.961820000000003</c:v>
              </c:pt>
              <c:pt idx="135">
                <c:v>-70.357699999999994</c:v>
              </c:pt>
              <c:pt idx="136">
                <c:v>-70.753790000000009</c:v>
              </c:pt>
              <c:pt idx="137">
                <c:v>-71.149779999999993</c:v>
              </c:pt>
              <c:pt idx="138">
                <c:v>-71.545670000000001</c:v>
              </c:pt>
              <c:pt idx="139">
                <c:v>-71.941659999999999</c:v>
              </c:pt>
              <c:pt idx="140">
                <c:v>-72.33775</c:v>
              </c:pt>
              <c:pt idx="141">
                <c:v>-72.733649999999997</c:v>
              </c:pt>
              <c:pt idx="142">
                <c:v>-73.129739999999998</c:v>
              </c:pt>
              <c:pt idx="143">
                <c:v>-73.52564000000001</c:v>
              </c:pt>
              <c:pt idx="144">
                <c:v>-73.92174</c:v>
              </c:pt>
              <c:pt idx="145">
                <c:v>-74.317549999999997</c:v>
              </c:pt>
              <c:pt idx="146">
                <c:v>-74.713549999999998</c:v>
              </c:pt>
              <c:pt idx="147">
                <c:v>-75.109559999999988</c:v>
              </c:pt>
              <c:pt idx="148">
                <c:v>-75.505570000000006</c:v>
              </c:pt>
              <c:pt idx="149">
                <c:v>-75.901579999999996</c:v>
              </c:pt>
              <c:pt idx="150">
                <c:v>-76.29759</c:v>
              </c:pt>
              <c:pt idx="151">
                <c:v>-76.693600000000004</c:v>
              </c:pt>
              <c:pt idx="152">
                <c:v>-77.089519999999993</c:v>
              </c:pt>
              <c:pt idx="153">
                <c:v>-77.485639999999989</c:v>
              </c:pt>
              <c:pt idx="154">
                <c:v>-77.881559999999993</c:v>
              </c:pt>
              <c:pt idx="155">
                <c:v>-78.277680000000004</c:v>
              </c:pt>
              <c:pt idx="156">
                <c:v>-78.673600000000008</c:v>
              </c:pt>
              <c:pt idx="157">
                <c:v>-79.069629999999989</c:v>
              </c:pt>
              <c:pt idx="158">
                <c:v>-79.46566</c:v>
              </c:pt>
              <c:pt idx="159">
                <c:v>-79.861580000000004</c:v>
              </c:pt>
              <c:pt idx="160">
                <c:v>-80.257620000000003</c:v>
              </c:pt>
              <c:pt idx="161">
                <c:v>-80.653549999999996</c:v>
              </c:pt>
              <c:pt idx="162">
                <c:v>-81.049679999999995</c:v>
              </c:pt>
              <c:pt idx="163">
                <c:v>-81.451979999999992</c:v>
              </c:pt>
              <c:pt idx="164">
                <c:v>-81.854270000000014</c:v>
              </c:pt>
              <c:pt idx="165">
                <c:v>-82.256569999999996</c:v>
              </c:pt>
              <c:pt idx="166">
                <c:v>-82.659180000000006</c:v>
              </c:pt>
              <c:pt idx="167">
                <c:v>-83.061480000000003</c:v>
              </c:pt>
              <c:pt idx="168">
                <c:v>-83.46378</c:v>
              </c:pt>
              <c:pt idx="169">
                <c:v>-83.866189999999989</c:v>
              </c:pt>
              <c:pt idx="170">
                <c:v>-84.268599999999992</c:v>
              </c:pt>
              <c:pt idx="171">
                <c:v>-84.671009999999995</c:v>
              </c:pt>
              <c:pt idx="172">
                <c:v>-85.073329999999999</c:v>
              </c:pt>
              <c:pt idx="173">
                <c:v>-85.475740000000002</c:v>
              </c:pt>
              <c:pt idx="174">
                <c:v>-85.878160000000008</c:v>
              </c:pt>
              <c:pt idx="175">
                <c:v>-86.280480000000011</c:v>
              </c:pt>
              <c:pt idx="176">
                <c:v>-86.6828</c:v>
              </c:pt>
              <c:pt idx="177">
                <c:v>-87.085329999999999</c:v>
              </c:pt>
              <c:pt idx="178">
                <c:v>-87.487650000000002</c:v>
              </c:pt>
              <c:pt idx="179">
                <c:v>-87.889980000000008</c:v>
              </c:pt>
              <c:pt idx="180">
                <c:v>-88.292410000000004</c:v>
              </c:pt>
              <c:pt idx="181">
                <c:v>-88.694839999999999</c:v>
              </c:pt>
              <c:pt idx="182">
                <c:v>-89.097170000000006</c:v>
              </c:pt>
              <c:pt idx="183">
                <c:v>-89.499610000000004</c:v>
              </c:pt>
              <c:pt idx="184">
                <c:v>-89.901939999999996</c:v>
              </c:pt>
              <c:pt idx="185">
                <c:v>-90.304379999999995</c:v>
              </c:pt>
              <c:pt idx="186">
                <c:v>-90.706829999999997</c:v>
              </c:pt>
              <c:pt idx="187">
                <c:v>-91.109269999999995</c:v>
              </c:pt>
              <c:pt idx="188">
                <c:v>-91.511610000000005</c:v>
              </c:pt>
              <c:pt idx="189">
                <c:v>-91.914060000000006</c:v>
              </c:pt>
              <c:pt idx="190">
                <c:v>-92.316509999999994</c:v>
              </c:pt>
              <c:pt idx="191">
                <c:v>-92.71896000000001</c:v>
              </c:pt>
              <c:pt idx="192">
                <c:v>-93.121309999999994</c:v>
              </c:pt>
              <c:pt idx="193">
                <c:v>-93.523769999999999</c:v>
              </c:pt>
              <c:pt idx="194">
                <c:v>-93.926020000000008</c:v>
              </c:pt>
              <c:pt idx="195">
                <c:v>-94.328479999999999</c:v>
              </c:pt>
              <c:pt idx="196">
                <c:v>-94.730940000000004</c:v>
              </c:pt>
              <c:pt idx="197">
                <c:v>-95.133409999999998</c:v>
              </c:pt>
              <c:pt idx="198">
                <c:v>-95.535769999999999</c:v>
              </c:pt>
              <c:pt idx="199">
                <c:v>-95.93813999999999</c:v>
              </c:pt>
              <c:pt idx="200">
                <c:v>-96.340509999999995</c:v>
              </c:pt>
              <c:pt idx="201">
                <c:v>-96.743080000000006</c:v>
              </c:pt>
              <c:pt idx="202">
                <c:v>-97.145449999999997</c:v>
              </c:pt>
              <c:pt idx="203">
                <c:v>-97.547820000000002</c:v>
              </c:pt>
              <c:pt idx="204">
                <c:v>-97.950299999999999</c:v>
              </c:pt>
              <c:pt idx="205">
                <c:v>-98.352779999999996</c:v>
              </c:pt>
              <c:pt idx="206">
                <c:v>-98.755059999999986</c:v>
              </c:pt>
              <c:pt idx="207">
                <c:v>-99.157540000000012</c:v>
              </c:pt>
              <c:pt idx="208">
                <c:v>-99.560029999999983</c:v>
              </c:pt>
              <c:pt idx="209">
                <c:v>-99.962410000000006</c:v>
              </c:pt>
              <c:pt idx="210">
                <c:v>-100.36490000000001</c:v>
              </c:pt>
              <c:pt idx="211">
                <c:v>-100.76729</c:v>
              </c:pt>
              <c:pt idx="212">
                <c:v>-101.16968</c:v>
              </c:pt>
              <c:pt idx="213">
                <c:v>-101.57208</c:v>
              </c:pt>
              <c:pt idx="214">
                <c:v>-101.97457</c:v>
              </c:pt>
              <c:pt idx="215">
                <c:v>-102.37697</c:v>
              </c:pt>
              <c:pt idx="216">
                <c:v>-102.77946999999999</c:v>
              </c:pt>
              <c:pt idx="217">
                <c:v>-103.18186999999999</c:v>
              </c:pt>
              <c:pt idx="218">
                <c:v>-103.58438</c:v>
              </c:pt>
              <c:pt idx="219">
                <c:v>-103.98678000000001</c:v>
              </c:pt>
              <c:pt idx="220">
                <c:v>-104.38928999999999</c:v>
              </c:pt>
              <c:pt idx="221">
                <c:v>-104.79159999999999</c:v>
              </c:pt>
              <c:pt idx="222">
                <c:v>-105.19410999999999</c:v>
              </c:pt>
              <c:pt idx="223">
                <c:v>-105.59653</c:v>
              </c:pt>
              <c:pt idx="224">
                <c:v>-105.99894</c:v>
              </c:pt>
              <c:pt idx="225">
                <c:v>-106.40146</c:v>
              </c:pt>
              <c:pt idx="226">
                <c:v>-106.80398</c:v>
              </c:pt>
              <c:pt idx="227">
                <c:v>-107.20639999999999</c:v>
              </c:pt>
              <c:pt idx="228">
                <c:v>-107.60892</c:v>
              </c:pt>
              <c:pt idx="229">
                <c:v>-108.01125000000002</c:v>
              </c:pt>
              <c:pt idx="230">
                <c:v>-108.41368</c:v>
              </c:pt>
              <c:pt idx="231">
                <c:v>-108.80814000000001</c:v>
              </c:pt>
              <c:pt idx="232">
                <c:v>-109.20006000000001</c:v>
              </c:pt>
              <c:pt idx="233">
                <c:v>-109.59177</c:v>
              </c:pt>
              <c:pt idx="234">
                <c:v>-109.98348999999999</c:v>
              </c:pt>
              <c:pt idx="235">
                <c:v>-110.37531000000001</c:v>
              </c:pt>
              <c:pt idx="236">
                <c:v>-110.76713000000001</c:v>
              </c:pt>
              <c:pt idx="237">
                <c:v>-111.15896000000001</c:v>
              </c:pt>
              <c:pt idx="238">
                <c:v>-111.55078</c:v>
              </c:pt>
              <c:pt idx="239">
                <c:v>-111.94251</c:v>
              </c:pt>
              <c:pt idx="240">
                <c:v>-112.33444</c:v>
              </c:pt>
              <c:pt idx="241">
                <c:v>-112.72617</c:v>
              </c:pt>
              <c:pt idx="242">
                <c:v>-113.11800000000001</c:v>
              </c:pt>
              <c:pt idx="243">
                <c:v>-113.50994</c:v>
              </c:pt>
              <c:pt idx="244">
                <c:v>-113.90177</c:v>
              </c:pt>
              <c:pt idx="245">
                <c:v>-114.29351</c:v>
              </c:pt>
              <c:pt idx="246">
                <c:v>-114.68535</c:v>
              </c:pt>
              <c:pt idx="247">
                <c:v>-115.07719</c:v>
              </c:pt>
              <c:pt idx="248">
                <c:v>-115.46893999999999</c:v>
              </c:pt>
              <c:pt idx="249">
                <c:v>-115.86078000000001</c:v>
              </c:pt>
              <c:pt idx="250">
                <c:v>-116.25263</c:v>
              </c:pt>
              <c:pt idx="251">
                <c:v>-116.64438000000001</c:v>
              </c:pt>
              <c:pt idx="252">
                <c:v>-117.03622999999999</c:v>
              </c:pt>
              <c:pt idx="253">
                <c:v>-117.42818</c:v>
              </c:pt>
              <c:pt idx="254">
                <c:v>-117.81994</c:v>
              </c:pt>
              <c:pt idx="255">
                <c:v>-118.21179000000001</c:v>
              </c:pt>
              <c:pt idx="256">
                <c:v>-118.60355000000001</c:v>
              </c:pt>
              <c:pt idx="257">
                <c:v>-118.99531</c:v>
              </c:pt>
              <c:pt idx="258">
                <c:v>-119.38737</c:v>
              </c:pt>
              <c:pt idx="259">
                <c:v>-119.77913000000001</c:v>
              </c:pt>
              <c:pt idx="260">
                <c:v>-120.1709</c:v>
              </c:pt>
              <c:pt idx="261">
                <c:v>-120.56277</c:v>
              </c:pt>
              <c:pt idx="262">
                <c:v>-120.95464000000001</c:v>
              </c:pt>
              <c:pt idx="263">
                <c:v>-121.34640999999999</c:v>
              </c:pt>
              <c:pt idx="264">
                <c:v>-121.73838000000001</c:v>
              </c:pt>
              <c:pt idx="265">
                <c:v>-122.13025000000002</c:v>
              </c:pt>
              <c:pt idx="266">
                <c:v>-122.52203</c:v>
              </c:pt>
              <c:pt idx="267">
                <c:v>-122.91381</c:v>
              </c:pt>
              <c:pt idx="268">
                <c:v>-123.30569</c:v>
              </c:pt>
              <c:pt idx="269">
                <c:v>-123.69757</c:v>
              </c:pt>
              <c:pt idx="270">
                <c:v>-124.08935</c:v>
              </c:pt>
              <c:pt idx="271">
                <c:v>-124.48123999999999</c:v>
              </c:pt>
              <c:pt idx="272">
                <c:v>-124.87313</c:v>
              </c:pt>
              <c:pt idx="273">
                <c:v>-125.26491000000001</c:v>
              </c:pt>
              <c:pt idx="274">
                <c:v>-125.6568</c:v>
              </c:pt>
              <c:pt idx="275">
                <c:v>-126.0487</c:v>
              </c:pt>
              <c:pt idx="276">
                <c:v>-126.44059</c:v>
              </c:pt>
              <c:pt idx="277">
                <c:v>-126.83238999999999</c:v>
              </c:pt>
              <c:pt idx="278">
                <c:v>-127.22418999999999</c:v>
              </c:pt>
              <c:pt idx="279">
                <c:v>-127.61618999999999</c:v>
              </c:pt>
              <c:pt idx="280">
                <c:v>-128.00789</c:v>
              </c:pt>
              <c:pt idx="281">
                <c:v>-128.39979</c:v>
              </c:pt>
              <c:pt idx="282">
                <c:v>-128.79160000000002</c:v>
              </c:pt>
              <c:pt idx="283">
                <c:v>-129.18360000000001</c:v>
              </c:pt>
              <c:pt idx="284">
                <c:v>-129.57541000000001</c:v>
              </c:pt>
              <c:pt idx="285">
                <c:v>-129.96732</c:v>
              </c:pt>
              <c:pt idx="286">
                <c:v>-130.35903000000002</c:v>
              </c:pt>
              <c:pt idx="287">
                <c:v>-130.75094999999999</c:v>
              </c:pt>
              <c:pt idx="288">
                <c:v>-131.14296000000002</c:v>
              </c:pt>
              <c:pt idx="289">
                <c:v>-131.53478000000001</c:v>
              </c:pt>
              <c:pt idx="290">
                <c:v>-131.92659999999998</c:v>
              </c:pt>
              <c:pt idx="291">
                <c:v>-132.31842</c:v>
              </c:pt>
              <c:pt idx="292">
                <c:v>-132.71044999999998</c:v>
              </c:pt>
              <c:pt idx="293">
                <c:v>-133.10237000000001</c:v>
              </c:pt>
              <c:pt idx="294">
                <c:v>-133.4941</c:v>
              </c:pt>
              <c:pt idx="295">
                <c:v>-133.88603000000001</c:v>
              </c:pt>
              <c:pt idx="296">
                <c:v>-134.27786</c:v>
              </c:pt>
              <c:pt idx="297">
                <c:v>-134.66978999999998</c:v>
              </c:pt>
              <c:pt idx="298">
                <c:v>-135.06172000000001</c:v>
              </c:pt>
              <c:pt idx="299">
                <c:v>-135.45356000000001</c:v>
              </c:pt>
              <c:pt idx="300">
                <c:v>-135.84539999999998</c:v>
              </c:pt>
              <c:pt idx="301">
                <c:v>-136.23734000000002</c:v>
              </c:pt>
              <c:pt idx="302">
                <c:v>-136.62917999999999</c:v>
              </c:pt>
              <c:pt idx="303">
                <c:v>-137.02112</c:v>
              </c:pt>
              <c:pt idx="304">
                <c:v>-137.41297</c:v>
              </c:pt>
              <c:pt idx="305">
                <c:v>-137.80491999999998</c:v>
              </c:pt>
              <c:pt idx="306">
                <c:v>-138.19676000000001</c:v>
              </c:pt>
              <c:pt idx="307">
                <c:v>-138.58860999999999</c:v>
              </c:pt>
              <c:pt idx="308">
                <c:v>-138.98057</c:v>
              </c:pt>
              <c:pt idx="309">
                <c:v>-139.37252000000001</c:v>
              </c:pt>
              <c:pt idx="310">
                <c:v>-139.76438000000002</c:v>
              </c:pt>
              <c:pt idx="311">
                <c:v>-140.15633</c:v>
              </c:pt>
              <c:pt idx="312">
                <c:v>-140.54819000000001</c:v>
              </c:pt>
              <c:pt idx="313">
                <c:v>-140.93939999999998</c:v>
              </c:pt>
              <c:pt idx="314">
                <c:v>-141.32954000000001</c:v>
              </c:pt>
              <c:pt idx="315">
                <c:v>-141.71977999999999</c:v>
              </c:pt>
              <c:pt idx="316">
                <c:v>-142.10991999999999</c:v>
              </c:pt>
              <c:pt idx="317">
                <c:v>-142.50017</c:v>
              </c:pt>
              <c:pt idx="318">
                <c:v>-142.89042000000001</c:v>
              </c:pt>
              <c:pt idx="319">
                <c:v>-143.28056999999998</c:v>
              </c:pt>
              <c:pt idx="320">
                <c:v>-143.67092</c:v>
              </c:pt>
              <c:pt idx="321">
                <c:v>-144.06108</c:v>
              </c:pt>
              <c:pt idx="322">
                <c:v>-144.45123000000001</c:v>
              </c:pt>
              <c:pt idx="323">
                <c:v>-144.84148999999999</c:v>
              </c:pt>
              <c:pt idx="324">
                <c:v>-145.23165</c:v>
              </c:pt>
              <c:pt idx="325">
                <c:v>-145.62191000000001</c:v>
              </c:pt>
              <c:pt idx="326">
                <c:v>-146.01208</c:v>
              </c:pt>
              <c:pt idx="327">
                <c:v>-146.40234000000001</c:v>
              </c:pt>
              <c:pt idx="328">
                <c:v>-146.79250999999999</c:v>
              </c:pt>
              <c:pt idx="329">
                <c:v>-147.18278000000001</c:v>
              </c:pt>
              <c:pt idx="330">
                <c:v>-147.57315</c:v>
              </c:pt>
              <c:pt idx="331">
                <c:v>-147.96332000000001</c:v>
              </c:pt>
              <c:pt idx="332">
                <c:v>-148.3535</c:v>
              </c:pt>
              <c:pt idx="333">
                <c:v>-148.74376999999998</c:v>
              </c:pt>
              <c:pt idx="334">
                <c:v>-149.13395</c:v>
              </c:pt>
              <c:pt idx="335">
                <c:v>-149.52412999999999</c:v>
              </c:pt>
              <c:pt idx="336">
                <c:v>-149.91440999999998</c:v>
              </c:pt>
              <c:pt idx="337">
                <c:v>-150.30468999999999</c:v>
              </c:pt>
              <c:pt idx="338">
                <c:v>-150.69487999999998</c:v>
              </c:pt>
              <c:pt idx="339">
                <c:v>-151.08506999999997</c:v>
              </c:pt>
              <c:pt idx="340">
                <c:v>-151.47525999999999</c:v>
              </c:pt>
              <c:pt idx="341">
                <c:v>-151.8682</c:v>
              </c:pt>
              <c:pt idx="342">
                <c:v>-152.26382999999998</c:v>
              </c:pt>
              <c:pt idx="343">
                <c:v>-152.65955</c:v>
              </c:pt>
              <c:pt idx="344">
                <c:v>-153.05517</c:v>
              </c:pt>
              <c:pt idx="345">
                <c:v>-153.45099999999999</c:v>
              </c:pt>
              <c:pt idx="346">
                <c:v>-153.84663</c:v>
              </c:pt>
              <c:pt idx="347">
                <c:v>-154.24236000000002</c:v>
              </c:pt>
              <c:pt idx="348">
                <c:v>-154.63800000000001</c:v>
              </c:pt>
              <c:pt idx="349">
                <c:v>-155.03363000000002</c:v>
              </c:pt>
              <c:pt idx="350">
                <c:v>-155.42937000000001</c:v>
              </c:pt>
              <c:pt idx="351">
                <c:v>-155.82500999999999</c:v>
              </c:pt>
              <c:pt idx="352">
                <c:v>-156.22075000000001</c:v>
              </c:pt>
              <c:pt idx="353">
                <c:v>-156.61639</c:v>
              </c:pt>
              <c:pt idx="354">
                <c:v>-157.01213000000001</c:v>
              </c:pt>
              <c:pt idx="355">
                <c:v>-157.40778</c:v>
              </c:pt>
              <c:pt idx="356">
                <c:v>-157.80352999999997</c:v>
              </c:pt>
              <c:pt idx="357">
                <c:v>-158.19908000000001</c:v>
              </c:pt>
              <c:pt idx="358">
                <c:v>-158.59493000000001</c:v>
              </c:pt>
              <c:pt idx="359">
                <c:v>-158.99058000000002</c:v>
              </c:pt>
              <c:pt idx="360">
                <c:v>-159.38633999999999</c:v>
              </c:pt>
              <c:pt idx="361">
                <c:v>-159.78200000000001</c:v>
              </c:pt>
              <c:pt idx="362">
                <c:v>-160.17766</c:v>
              </c:pt>
              <c:pt idx="363">
                <c:v>-160.57342</c:v>
              </c:pt>
              <c:pt idx="364">
                <c:v>-160.96907999999999</c:v>
              </c:pt>
              <c:pt idx="365">
                <c:v>-161.36475000000002</c:v>
              </c:pt>
              <c:pt idx="366">
                <c:v>-161.76052000000001</c:v>
              </c:pt>
              <c:pt idx="367">
                <c:v>-162.15619000000001</c:v>
              </c:pt>
              <c:pt idx="368">
                <c:v>-162.55185999999998</c:v>
              </c:pt>
              <c:pt idx="369">
                <c:v>-162.94763</c:v>
              </c:pt>
              <c:pt idx="370">
                <c:v>-163.34331</c:v>
              </c:pt>
              <c:pt idx="371">
                <c:v>-163.73908</c:v>
              </c:pt>
              <c:pt idx="372">
                <c:v>-164.13486</c:v>
              </c:pt>
              <c:pt idx="373">
                <c:v>-164.53054</c:v>
              </c:pt>
              <c:pt idx="374">
                <c:v>-164.92622999999998</c:v>
              </c:pt>
              <c:pt idx="375">
                <c:v>-165.32191</c:v>
              </c:pt>
              <c:pt idx="376">
                <c:v>-165.7176</c:v>
              </c:pt>
              <c:pt idx="377">
                <c:v>-166.11339000000001</c:v>
              </c:pt>
              <c:pt idx="378">
                <c:v>-166.50907999999998</c:v>
              </c:pt>
              <c:pt idx="379">
                <c:v>-166.90477000000001</c:v>
              </c:pt>
              <c:pt idx="380">
                <c:v>-167.30056000000002</c:v>
              </c:pt>
              <c:pt idx="381">
                <c:v>-167.69626</c:v>
              </c:pt>
              <c:pt idx="382">
                <c:v>-168.09196</c:v>
              </c:pt>
              <c:pt idx="383">
                <c:v>-168.48766000000001</c:v>
              </c:pt>
              <c:pt idx="384">
                <c:v>-168.88336000000001</c:v>
              </c:pt>
              <c:pt idx="385">
                <c:v>-169.27915999999999</c:v>
              </c:pt>
              <c:pt idx="386">
                <c:v>-169.67487</c:v>
              </c:pt>
              <c:pt idx="387">
                <c:v>-170.07067999999998</c:v>
              </c:pt>
              <c:pt idx="388">
                <c:v>-170.46638999999999</c:v>
              </c:pt>
              <c:pt idx="389">
                <c:v>-170.8622</c:v>
              </c:pt>
              <c:pt idx="390">
                <c:v>-171.25780999999998</c:v>
              </c:pt>
              <c:pt idx="391">
                <c:v>-171.65352999999999</c:v>
              </c:pt>
              <c:pt idx="392">
                <c:v>-172.04934</c:v>
              </c:pt>
              <c:pt idx="393">
                <c:v>-172.44506000000001</c:v>
              </c:pt>
              <c:pt idx="394">
                <c:v>-172.84078</c:v>
              </c:pt>
              <c:pt idx="395">
                <c:v>-173.23651000000001</c:v>
              </c:pt>
              <c:pt idx="396">
                <c:v>-173.63233000000002</c:v>
              </c:pt>
              <c:pt idx="397">
                <c:v>-174.02806000000001</c:v>
              </c:pt>
              <c:pt idx="398">
                <c:v>-174.42389</c:v>
              </c:pt>
              <c:pt idx="399">
                <c:v>-174.81961999999999</c:v>
              </c:pt>
              <c:pt idx="400">
                <c:v>-175.21525</c:v>
              </c:pt>
              <c:pt idx="401">
                <c:v>-175.61108999999999</c:v>
              </c:pt>
              <c:pt idx="402">
                <c:v>-176.00682</c:v>
              </c:pt>
              <c:pt idx="403">
                <c:v>-176.40266</c:v>
              </c:pt>
              <c:pt idx="404">
                <c:v>-176.79840000000002</c:v>
              </c:pt>
              <c:pt idx="405">
                <c:v>-177.19404</c:v>
              </c:pt>
              <c:pt idx="406">
                <c:v>-177.58978999999999</c:v>
              </c:pt>
              <c:pt idx="407">
                <c:v>-177.98552999999998</c:v>
              </c:pt>
              <c:pt idx="408">
                <c:v>-178.38138000000001</c:v>
              </c:pt>
              <c:pt idx="409">
                <c:v>-178.77703</c:v>
              </c:pt>
              <c:pt idx="410">
                <c:v>-179.17287999999999</c:v>
              </c:pt>
              <c:pt idx="411">
                <c:v>-179.56863999999999</c:v>
              </c:pt>
              <c:pt idx="412">
                <c:v>-179.96439000000001</c:v>
              </c:pt>
              <c:pt idx="413">
                <c:v>-180.36015</c:v>
              </c:pt>
              <c:pt idx="414">
                <c:v>-180.75601</c:v>
              </c:pt>
              <c:pt idx="415">
                <c:v>-181.15167000000002</c:v>
              </c:pt>
              <c:pt idx="416">
                <c:v>-181.54752999999999</c:v>
              </c:pt>
              <c:pt idx="417">
                <c:v>-181.94319999999999</c:v>
              </c:pt>
              <c:pt idx="418">
                <c:v>-182.33906999999999</c:v>
              </c:pt>
              <c:pt idx="419">
                <c:v>-182.7347</c:v>
              </c:pt>
              <c:pt idx="420">
                <c:v>-183.13049999999998</c:v>
              </c:pt>
              <c:pt idx="421">
                <c:v>-183.52629999999999</c:v>
              </c:pt>
              <c:pt idx="422">
                <c:v>-183.9221</c:v>
              </c:pt>
              <c:pt idx="423">
                <c:v>-184.31780000000001</c:v>
              </c:pt>
              <c:pt idx="424">
                <c:v>-184.71370000000002</c:v>
              </c:pt>
              <c:pt idx="425">
                <c:v>-185.10939999999999</c:v>
              </c:pt>
              <c:pt idx="426">
                <c:v>-185.50530000000001</c:v>
              </c:pt>
              <c:pt idx="427">
                <c:v>-185.90110000000001</c:v>
              </c:pt>
              <c:pt idx="428">
                <c:v>-186.29679999999999</c:v>
              </c:pt>
              <c:pt idx="429">
                <c:v>-186.6925</c:v>
              </c:pt>
              <c:pt idx="430">
                <c:v>-187.0883</c:v>
              </c:pt>
              <c:pt idx="431">
                <c:v>-187.48420000000002</c:v>
              </c:pt>
              <c:pt idx="432">
                <c:v>-187.87989999999999</c:v>
              </c:pt>
              <c:pt idx="433">
                <c:v>-188.2757</c:v>
              </c:pt>
              <c:pt idx="434">
                <c:v>-188.67159999999998</c:v>
              </c:pt>
              <c:pt idx="435">
                <c:v>-189.06729999999999</c:v>
              </c:pt>
              <c:pt idx="436">
                <c:v>-189.46299999999999</c:v>
              </c:pt>
              <c:pt idx="437">
                <c:v>-189.85889999999998</c:v>
              </c:pt>
              <c:pt idx="438">
                <c:v>-190.25470000000001</c:v>
              </c:pt>
              <c:pt idx="439">
                <c:v>-190.65049999999999</c:v>
              </c:pt>
              <c:pt idx="440">
                <c:v>-191.0462</c:v>
              </c:pt>
              <c:pt idx="441">
                <c:v>-191.44210000000001</c:v>
              </c:pt>
              <c:pt idx="442">
                <c:v>-191.83800000000002</c:v>
              </c:pt>
              <c:pt idx="443">
                <c:v>-192.2337</c:v>
              </c:pt>
              <c:pt idx="444">
                <c:v>-192.62909999999999</c:v>
              </c:pt>
              <c:pt idx="445">
                <c:v>-193.02379999999999</c:v>
              </c:pt>
              <c:pt idx="446">
                <c:v>-193.4187</c:v>
              </c:pt>
              <c:pt idx="447">
                <c:v>-193.8134</c:v>
              </c:pt>
              <c:pt idx="448">
                <c:v>-194.20820000000001</c:v>
              </c:pt>
              <c:pt idx="449">
                <c:v>-194.60070000000002</c:v>
              </c:pt>
              <c:pt idx="450">
                <c:v>-194.9931</c:v>
              </c:pt>
              <c:pt idx="451">
                <c:v>-195.38550000000001</c:v>
              </c:pt>
              <c:pt idx="452">
                <c:v>-195.77800000000002</c:v>
              </c:pt>
              <c:pt idx="453">
                <c:v>-196.1704</c:v>
              </c:pt>
              <c:pt idx="454">
                <c:v>-196.56280000000001</c:v>
              </c:pt>
              <c:pt idx="455">
                <c:v>-196.9554</c:v>
              </c:pt>
              <c:pt idx="456">
                <c:v>-197.34780000000001</c:v>
              </c:pt>
              <c:pt idx="457">
                <c:v>-197.74019999999999</c:v>
              </c:pt>
              <c:pt idx="458">
                <c:v>-198.1327</c:v>
              </c:pt>
              <c:pt idx="459">
                <c:v>-198.52510000000001</c:v>
              </c:pt>
              <c:pt idx="460">
                <c:v>-198.91749999999999</c:v>
              </c:pt>
              <c:pt idx="461">
                <c:v>-199.31010000000001</c:v>
              </c:pt>
              <c:pt idx="462">
                <c:v>-199.70249999999999</c:v>
              </c:pt>
              <c:pt idx="463">
                <c:v>-200.09479999999999</c:v>
              </c:pt>
              <c:pt idx="464">
                <c:v>-200.48729999999998</c:v>
              </c:pt>
              <c:pt idx="465">
                <c:v>-200.87979999999999</c:v>
              </c:pt>
              <c:pt idx="466">
                <c:v>-201.2722</c:v>
              </c:pt>
              <c:pt idx="467">
                <c:v>-201.66469999999998</c:v>
              </c:pt>
              <c:pt idx="468">
                <c:v>-202.05720000000002</c:v>
              </c:pt>
              <c:pt idx="469">
                <c:v>-202.44959999999998</c:v>
              </c:pt>
              <c:pt idx="470">
                <c:v>-202.84219999999999</c:v>
              </c:pt>
              <c:pt idx="471">
                <c:v>-203.2346</c:v>
              </c:pt>
              <c:pt idx="472">
                <c:v>-203.62700000000001</c:v>
              </c:pt>
              <c:pt idx="473">
                <c:v>-204.01949999999999</c:v>
              </c:pt>
              <c:pt idx="474">
                <c:v>-204.41199999999998</c:v>
              </c:pt>
              <c:pt idx="475">
                <c:v>-204.80449999999996</c:v>
              </c:pt>
              <c:pt idx="476">
                <c:v>-205.1968</c:v>
              </c:pt>
              <c:pt idx="477">
                <c:v>-205.58940000000001</c:v>
              </c:pt>
              <c:pt idx="478">
                <c:v>-205.98179999999999</c:v>
              </c:pt>
              <c:pt idx="479">
                <c:v>-206.37430000000001</c:v>
              </c:pt>
              <c:pt idx="480">
                <c:v>-206.76689999999999</c:v>
              </c:pt>
              <c:pt idx="481">
                <c:v>-207.1592</c:v>
              </c:pt>
              <c:pt idx="482">
                <c:v>-207.55169999999998</c:v>
              </c:pt>
              <c:pt idx="483">
                <c:v>-207.94420000000002</c:v>
              </c:pt>
              <c:pt idx="484">
                <c:v>-208.33679999999998</c:v>
              </c:pt>
              <c:pt idx="485">
                <c:v>-208.72919999999999</c:v>
              </c:pt>
              <c:pt idx="486">
                <c:v>-209.12169999999998</c:v>
              </c:pt>
              <c:pt idx="487">
                <c:v>-209.51409999999998</c:v>
              </c:pt>
              <c:pt idx="488">
                <c:v>-209.90659999999997</c:v>
              </c:pt>
              <c:pt idx="489">
                <c:v>-210.29910000000001</c:v>
              </c:pt>
              <c:pt idx="490">
                <c:v>-210.69160000000002</c:v>
              </c:pt>
              <c:pt idx="491">
                <c:v>-211.084</c:v>
              </c:pt>
              <c:pt idx="492">
                <c:v>-211.47659999999999</c:v>
              </c:pt>
              <c:pt idx="493">
                <c:v>-211.8691</c:v>
              </c:pt>
              <c:pt idx="494">
                <c:v>-212.26149999999998</c:v>
              </c:pt>
              <c:pt idx="495">
                <c:v>-212.65410000000003</c:v>
              </c:pt>
              <c:pt idx="496">
                <c:v>-213.04660000000001</c:v>
              </c:pt>
              <c:pt idx="497">
                <c:v>-213.4391</c:v>
              </c:pt>
              <c:pt idx="498">
                <c:v>-213.83150000000001</c:v>
              </c:pt>
              <c:pt idx="499">
                <c:v>-214.2242</c:v>
              </c:pt>
              <c:pt idx="500">
                <c:v>-214.61660000000001</c:v>
              </c:pt>
              <c:pt idx="501">
                <c:v>-215.00909999999999</c:v>
              </c:pt>
              <c:pt idx="502">
                <c:v>-215.4015</c:v>
              </c:pt>
              <c:pt idx="503">
                <c:v>-215.79409999999999</c:v>
              </c:pt>
              <c:pt idx="504">
                <c:v>-216.18659999999997</c:v>
              </c:pt>
              <c:pt idx="505">
                <c:v>-216.57900000000001</c:v>
              </c:pt>
              <c:pt idx="506">
                <c:v>-216.97160000000002</c:v>
              </c:pt>
              <c:pt idx="507">
                <c:v>-217.36399999999998</c:v>
              </c:pt>
              <c:pt idx="508">
                <c:v>-217.75650000000002</c:v>
              </c:pt>
              <c:pt idx="509">
                <c:v>-218.1491</c:v>
              </c:pt>
              <c:pt idx="510">
                <c:v>-218.54159999999999</c:v>
              </c:pt>
              <c:pt idx="511">
                <c:v>-218.9341</c:v>
              </c:pt>
              <c:pt idx="512">
                <c:v>-219.32659999999998</c:v>
              </c:pt>
              <c:pt idx="513">
                <c:v>-219.71910000000003</c:v>
              </c:pt>
              <c:pt idx="514">
                <c:v>-220.11169999999998</c:v>
              </c:pt>
              <c:pt idx="515">
                <c:v>-220.50409999999999</c:v>
              </c:pt>
              <c:pt idx="516">
                <c:v>-220.89670000000001</c:v>
              </c:pt>
              <c:pt idx="517">
                <c:v>-221.2893</c:v>
              </c:pt>
              <c:pt idx="518">
                <c:v>-221.68180000000001</c:v>
              </c:pt>
              <c:pt idx="519">
                <c:v>-222.07419999999999</c:v>
              </c:pt>
              <c:pt idx="520">
                <c:v>-222.46680000000003</c:v>
              </c:pt>
              <c:pt idx="521">
                <c:v>-222.85930000000002</c:v>
              </c:pt>
              <c:pt idx="522">
                <c:v>-223.25189999999998</c:v>
              </c:pt>
              <c:pt idx="523">
                <c:v>-223.64439999999996</c:v>
              </c:pt>
              <c:pt idx="524">
                <c:v>-224.0369</c:v>
              </c:pt>
              <c:pt idx="525">
                <c:v>-224.42940000000002</c:v>
              </c:pt>
              <c:pt idx="526">
                <c:v>-224.8219</c:v>
              </c:pt>
              <c:pt idx="527">
                <c:v>-225.21440000000001</c:v>
              </c:pt>
              <c:pt idx="528">
                <c:v>-225.60700000000003</c:v>
              </c:pt>
              <c:pt idx="529">
                <c:v>-225.99950000000001</c:v>
              </c:pt>
              <c:pt idx="530">
                <c:v>-226.3921</c:v>
              </c:pt>
              <c:pt idx="531">
                <c:v>-226.78460000000001</c:v>
              </c:pt>
              <c:pt idx="532">
                <c:v>-227.1771</c:v>
              </c:pt>
              <c:pt idx="533">
                <c:v>-227.56959999999998</c:v>
              </c:pt>
              <c:pt idx="534">
                <c:v>-227.9622</c:v>
              </c:pt>
              <c:pt idx="535">
                <c:v>-228.35480000000001</c:v>
              </c:pt>
              <c:pt idx="536">
                <c:v>-228.7473</c:v>
              </c:pt>
              <c:pt idx="537">
                <c:v>-229.13980000000001</c:v>
              </c:pt>
              <c:pt idx="538">
                <c:v>-229.5324</c:v>
              </c:pt>
              <c:pt idx="539">
                <c:v>-229.92489999999998</c:v>
              </c:pt>
              <c:pt idx="540">
                <c:v>-230.31739999999996</c:v>
              </c:pt>
              <c:pt idx="541">
                <c:v>-230.70999999999998</c:v>
              </c:pt>
              <c:pt idx="542">
                <c:v>-231.1026</c:v>
              </c:pt>
              <c:pt idx="543">
                <c:v>-231.49520000000001</c:v>
              </c:pt>
              <c:pt idx="544">
                <c:v>-231.8877</c:v>
              </c:pt>
              <c:pt idx="545">
                <c:v>-232.26959999999997</c:v>
              </c:pt>
              <c:pt idx="546">
                <c:v>-232.65090000000001</c:v>
              </c:pt>
              <c:pt idx="547">
                <c:v>-233.03210000000001</c:v>
              </c:pt>
              <c:pt idx="548">
                <c:v>-233.41340000000002</c:v>
              </c:pt>
              <c:pt idx="549">
                <c:v>-233.79470000000001</c:v>
              </c:pt>
              <c:pt idx="550">
                <c:v>-234.17590000000001</c:v>
              </c:pt>
              <c:pt idx="551">
                <c:v>-234.55719999999999</c:v>
              </c:pt>
              <c:pt idx="552">
                <c:v>-234.93860000000001</c:v>
              </c:pt>
              <c:pt idx="553">
                <c:v>-235.31979999999999</c:v>
              </c:pt>
              <c:pt idx="554">
                <c:v>-235.70100000000002</c:v>
              </c:pt>
              <c:pt idx="555">
                <c:v>-236.0823</c:v>
              </c:pt>
              <c:pt idx="556">
                <c:v>-236.46359999999999</c:v>
              </c:pt>
              <c:pt idx="557">
                <c:v>-236.84479999999999</c:v>
              </c:pt>
              <c:pt idx="558">
                <c:v>-237.22610000000003</c:v>
              </c:pt>
              <c:pt idx="559">
                <c:v>-237.60739999999998</c:v>
              </c:pt>
              <c:pt idx="560">
                <c:v>-237.98869999999999</c:v>
              </c:pt>
              <c:pt idx="561">
                <c:v>-238.3699</c:v>
              </c:pt>
              <c:pt idx="562">
                <c:v>-238.75130000000001</c:v>
              </c:pt>
              <c:pt idx="563">
                <c:v>-239.1327</c:v>
              </c:pt>
              <c:pt idx="564">
                <c:v>-239.51390000000001</c:v>
              </c:pt>
              <c:pt idx="565">
                <c:v>-239.89510000000001</c:v>
              </c:pt>
              <c:pt idx="566">
                <c:v>-240.27640000000002</c:v>
              </c:pt>
              <c:pt idx="567">
                <c:v>-240.6576</c:v>
              </c:pt>
              <c:pt idx="568">
                <c:v>-241.03899999999999</c:v>
              </c:pt>
              <c:pt idx="569">
                <c:v>-241.4203</c:v>
              </c:pt>
              <c:pt idx="570">
                <c:v>-241.8015</c:v>
              </c:pt>
              <c:pt idx="571">
                <c:v>-242.18289999999996</c:v>
              </c:pt>
              <c:pt idx="572">
                <c:v>-242.5642</c:v>
              </c:pt>
              <c:pt idx="573">
                <c:v>-242.94549999999998</c:v>
              </c:pt>
              <c:pt idx="574">
                <c:v>-243.32689999999999</c:v>
              </c:pt>
              <c:pt idx="575">
                <c:v>-243.708</c:v>
              </c:pt>
              <c:pt idx="576">
                <c:v>-244.08930000000001</c:v>
              </c:pt>
              <c:pt idx="577">
                <c:v>-244.44290000000001</c:v>
              </c:pt>
              <c:pt idx="578">
                <c:v>-244.78440000000001</c:v>
              </c:pt>
              <c:pt idx="579">
                <c:v>-245.12569999999999</c:v>
              </c:pt>
              <c:pt idx="580">
                <c:v>-245.46690000000001</c:v>
              </c:pt>
              <c:pt idx="581">
                <c:v>-245.8082</c:v>
              </c:pt>
              <c:pt idx="582">
                <c:v>-246.14959999999999</c:v>
              </c:pt>
              <c:pt idx="583">
                <c:v>-246.49090000000001</c:v>
              </c:pt>
              <c:pt idx="584">
                <c:v>-246.8322</c:v>
              </c:pt>
              <c:pt idx="585">
                <c:v>-247.17349999999999</c:v>
              </c:pt>
              <c:pt idx="586">
                <c:v>-247.51499999999999</c:v>
              </c:pt>
              <c:pt idx="587">
                <c:v>-247.85610000000003</c:v>
              </c:pt>
              <c:pt idx="588">
                <c:v>-248.19720000000001</c:v>
              </c:pt>
              <c:pt idx="589">
                <c:v>-248.5377</c:v>
              </c:pt>
              <c:pt idx="590">
                <c:v>-248.87819999999999</c:v>
              </c:pt>
              <c:pt idx="591">
                <c:v>-249.21860000000001</c:v>
              </c:pt>
              <c:pt idx="592">
                <c:v>-249.55899999999997</c:v>
              </c:pt>
              <c:pt idx="593">
                <c:v>-249.89950000000002</c:v>
              </c:pt>
              <c:pt idx="594">
                <c:v>-250.23989999999998</c:v>
              </c:pt>
              <c:pt idx="595">
                <c:v>-250.5804</c:v>
              </c:pt>
              <c:pt idx="596">
                <c:v>-250.92090000000002</c:v>
              </c:pt>
              <c:pt idx="597">
                <c:v>-251.26130000000001</c:v>
              </c:pt>
              <c:pt idx="598">
                <c:v>-251.6019</c:v>
              </c:pt>
              <c:pt idx="599">
                <c:v>-251.94239999999999</c:v>
              </c:pt>
              <c:pt idx="600">
                <c:v>-252.28289999999998</c:v>
              </c:pt>
              <c:pt idx="601">
                <c:v>-252.6233</c:v>
              </c:pt>
              <c:pt idx="602">
                <c:v>-252.96379999999999</c:v>
              </c:pt>
              <c:pt idx="603">
                <c:v>-253.30419999999998</c:v>
              </c:pt>
              <c:pt idx="604">
                <c:v>-253.64460000000003</c:v>
              </c:pt>
              <c:pt idx="605">
                <c:v>-253.9847</c:v>
              </c:pt>
              <c:pt idx="606">
                <c:v>-254.32589999999999</c:v>
              </c:pt>
              <c:pt idx="607">
                <c:v>-254.666</c:v>
              </c:pt>
              <c:pt idx="608">
                <c:v>-255.00620000000004</c:v>
              </c:pt>
              <c:pt idx="609">
                <c:v>-255.34739999999999</c:v>
              </c:pt>
              <c:pt idx="610">
                <c:v>-255.6875</c:v>
              </c:pt>
              <c:pt idx="611">
                <c:v>-256.02769999999998</c:v>
              </c:pt>
              <c:pt idx="612">
                <c:v>-256.36880000000002</c:v>
              </c:pt>
              <c:pt idx="613">
                <c:v>-256.709</c:v>
              </c:pt>
              <c:pt idx="614">
                <c:v>-257.04919999999998</c:v>
              </c:pt>
              <c:pt idx="615">
                <c:v>-257.3904</c:v>
              </c:pt>
              <c:pt idx="616">
                <c:v>-257.73050000000001</c:v>
              </c:pt>
              <c:pt idx="617">
                <c:v>-258.06</c:v>
              </c:pt>
              <c:pt idx="618">
                <c:v>-258.33359999999999</c:v>
              </c:pt>
              <c:pt idx="619">
                <c:v>-258.60630000000003</c:v>
              </c:pt>
              <c:pt idx="620">
                <c:v>-258.87889999999999</c:v>
              </c:pt>
              <c:pt idx="621">
                <c:v>-259.15159999999997</c:v>
              </c:pt>
              <c:pt idx="622">
                <c:v>-259.42430000000002</c:v>
              </c:pt>
              <c:pt idx="623">
                <c:v>-259.69799999999998</c:v>
              </c:pt>
              <c:pt idx="624">
                <c:v>-259.9708</c:v>
              </c:pt>
              <c:pt idx="625">
                <c:v>-260.24340000000001</c:v>
              </c:pt>
              <c:pt idx="626">
                <c:v>-260.51609999999999</c:v>
              </c:pt>
              <c:pt idx="627">
                <c:v>-260.7885</c:v>
              </c:pt>
              <c:pt idx="628">
                <c:v>-261.06200000000001</c:v>
              </c:pt>
              <c:pt idx="629">
                <c:v>-261.33460000000002</c:v>
              </c:pt>
              <c:pt idx="630">
                <c:v>-261.60699999999997</c:v>
              </c:pt>
              <c:pt idx="631">
                <c:v>-261.87959999999998</c:v>
              </c:pt>
              <c:pt idx="632">
                <c:v>-262.15210000000002</c:v>
              </c:pt>
              <c:pt idx="633">
                <c:v>-262.42470000000003</c:v>
              </c:pt>
              <c:pt idx="634">
                <c:v>-262.69720000000001</c:v>
              </c:pt>
              <c:pt idx="635">
                <c:v>-262.97070000000002</c:v>
              </c:pt>
              <c:pt idx="636">
                <c:v>-263.2432</c:v>
              </c:pt>
              <c:pt idx="637">
                <c:v>-263.51530000000002</c:v>
              </c:pt>
              <c:pt idx="638">
                <c:v>-263.7876</c:v>
              </c:pt>
              <c:pt idx="639">
                <c:v>-264.06080000000003</c:v>
              </c:pt>
              <c:pt idx="640">
                <c:v>-264.3329</c:v>
              </c:pt>
              <c:pt idx="641">
                <c:v>-264.60509999999999</c:v>
              </c:pt>
              <c:pt idx="642">
                <c:v>-264.87830000000002</c:v>
              </c:pt>
              <c:pt idx="643">
                <c:v>-265.15039999999999</c:v>
              </c:pt>
              <c:pt idx="644">
                <c:v>-265.42259999999999</c:v>
              </c:pt>
              <c:pt idx="645">
                <c:v>-265.69479999999999</c:v>
              </c:pt>
              <c:pt idx="646">
                <c:v>-265.96780000000001</c:v>
              </c:pt>
              <c:pt idx="647">
                <c:v>-266.24009999999998</c:v>
              </c:pt>
              <c:pt idx="648">
                <c:v>-266.51220000000001</c:v>
              </c:pt>
              <c:pt idx="649">
                <c:v>-266.78440000000001</c:v>
              </c:pt>
              <c:pt idx="650">
                <c:v>-267.05759999999998</c:v>
              </c:pt>
              <c:pt idx="651">
                <c:v>-267.3297</c:v>
              </c:pt>
              <c:pt idx="652">
                <c:v>-267.6019</c:v>
              </c:pt>
              <c:pt idx="653">
                <c:v>-267.875</c:v>
              </c:pt>
              <c:pt idx="654">
                <c:v>-268.14190000000002</c:v>
              </c:pt>
              <c:pt idx="655">
                <c:v>-268.40610000000004</c:v>
              </c:pt>
              <c:pt idx="656">
                <c:v>-268.66719999999998</c:v>
              </c:pt>
              <c:pt idx="657">
                <c:v>-268.9282</c:v>
              </c:pt>
              <c:pt idx="658">
                <c:v>-269.19040000000001</c:v>
              </c:pt>
              <c:pt idx="659">
                <c:v>-269.45150000000001</c:v>
              </c:pt>
              <c:pt idx="660">
                <c:v>-269.71249999999998</c:v>
              </c:pt>
              <c:pt idx="661">
                <c:v>-269.97460000000001</c:v>
              </c:pt>
              <c:pt idx="662">
                <c:v>-270.23570000000001</c:v>
              </c:pt>
              <c:pt idx="663">
                <c:v>-270.49680000000001</c:v>
              </c:pt>
              <c:pt idx="664">
                <c:v>-270.75779999999997</c:v>
              </c:pt>
              <c:pt idx="665">
                <c:v>-271.02</c:v>
              </c:pt>
              <c:pt idx="666">
                <c:v>-271.28109999999998</c:v>
              </c:pt>
              <c:pt idx="667">
                <c:v>-271.54219999999998</c:v>
              </c:pt>
              <c:pt idx="668">
                <c:v>-271.80430000000001</c:v>
              </c:pt>
              <c:pt idx="669">
                <c:v>-272.06529999999998</c:v>
              </c:pt>
              <c:pt idx="670">
                <c:v>-272.32640000000004</c:v>
              </c:pt>
              <c:pt idx="671">
                <c:v>-272.58850000000001</c:v>
              </c:pt>
              <c:pt idx="672">
                <c:v>-272.84969999999998</c:v>
              </c:pt>
              <c:pt idx="673">
                <c:v>-273.0942</c:v>
              </c:pt>
              <c:pt idx="674">
                <c:v>-273.33569999999997</c:v>
              </c:pt>
              <c:pt idx="675">
                <c:v>-273.57299999999998</c:v>
              </c:pt>
              <c:pt idx="676">
                <c:v>-273.81110000000001</c:v>
              </c:pt>
              <c:pt idx="677">
                <c:v>-274.048</c:v>
              </c:pt>
              <c:pt idx="678">
                <c:v>-274.286</c:v>
              </c:pt>
              <c:pt idx="679">
                <c:v>-274.5231</c:v>
              </c:pt>
              <c:pt idx="680">
                <c:v>-274.7611</c:v>
              </c:pt>
              <c:pt idx="681">
                <c:v>-274.9982</c:v>
              </c:pt>
              <c:pt idx="682">
                <c:v>-275.23519999999996</c:v>
              </c:pt>
              <c:pt idx="683">
                <c:v>-275.47309999999999</c:v>
              </c:pt>
              <c:pt idx="684">
                <c:v>-275.71019999999999</c:v>
              </c:pt>
              <c:pt idx="685">
                <c:v>-275.94830000000002</c:v>
              </c:pt>
              <c:pt idx="686">
                <c:v>-276.18540000000002</c:v>
              </c:pt>
              <c:pt idx="687">
                <c:v>-276.42330000000004</c:v>
              </c:pt>
              <c:pt idx="688">
                <c:v>-276.66030000000001</c:v>
              </c:pt>
              <c:pt idx="689">
                <c:v>-276.89839999999998</c:v>
              </c:pt>
              <c:pt idx="690">
                <c:v>-277.13549999999998</c:v>
              </c:pt>
              <c:pt idx="691">
                <c:v>-277.37349999999998</c:v>
              </c:pt>
              <c:pt idx="692">
                <c:v>-277.61040000000003</c:v>
              </c:pt>
              <c:pt idx="693">
                <c:v>-277.8485</c:v>
              </c:pt>
              <c:pt idx="694">
                <c:v>-278.0856</c:v>
              </c:pt>
              <c:pt idx="695">
                <c:v>-278.3227</c:v>
              </c:pt>
              <c:pt idx="696">
                <c:v>-278.56059999999997</c:v>
              </c:pt>
              <c:pt idx="697">
                <c:v>-278.7971</c:v>
              </c:pt>
              <c:pt idx="698">
                <c:v>-279.0317</c:v>
              </c:pt>
              <c:pt idx="699">
                <c:v>-279.26530000000002</c:v>
              </c:pt>
              <c:pt idx="700">
                <c:v>-279.49990000000003</c:v>
              </c:pt>
              <c:pt idx="701">
                <c:v>-279.73349999999999</c:v>
              </c:pt>
              <c:pt idx="702">
                <c:v>-279.96789999999999</c:v>
              </c:pt>
              <c:pt idx="703">
                <c:v>-280.20259999999996</c:v>
              </c:pt>
              <c:pt idx="704">
                <c:v>-280.43619999999999</c:v>
              </c:pt>
              <c:pt idx="705">
                <c:v>-280.67070000000001</c:v>
              </c:pt>
              <c:pt idx="706">
                <c:v>-280.90429999999998</c:v>
              </c:pt>
              <c:pt idx="707">
                <c:v>-281.13900000000001</c:v>
              </c:pt>
              <c:pt idx="708">
                <c:v>-281.3725</c:v>
              </c:pt>
              <c:pt idx="709">
                <c:v>-281.6071</c:v>
              </c:pt>
              <c:pt idx="710">
                <c:v>-281.84070000000003</c:v>
              </c:pt>
              <c:pt idx="711">
                <c:v>-282.07530000000003</c:v>
              </c:pt>
              <c:pt idx="712">
                <c:v>-282.30990000000003</c:v>
              </c:pt>
              <c:pt idx="713">
                <c:v>-282.54340000000002</c:v>
              </c:pt>
              <c:pt idx="714">
                <c:v>-282.77809999999999</c:v>
              </c:pt>
              <c:pt idx="715">
                <c:v>-283.01159999999999</c:v>
              </c:pt>
              <c:pt idx="716">
                <c:v>-283.24619999999999</c:v>
              </c:pt>
              <c:pt idx="717">
                <c:v>-283.47980000000001</c:v>
              </c:pt>
              <c:pt idx="718">
                <c:v>-283.71429999999998</c:v>
              </c:pt>
              <c:pt idx="719">
                <c:v>-283.94799999999998</c:v>
              </c:pt>
              <c:pt idx="720">
                <c:v>-284.18259999999998</c:v>
              </c:pt>
              <c:pt idx="721">
                <c:v>-284.4171</c:v>
              </c:pt>
              <c:pt idx="722">
                <c:v>-284.65069999999997</c:v>
              </c:pt>
              <c:pt idx="723">
                <c:v>-284.8852</c:v>
              </c:pt>
              <c:pt idx="724">
                <c:v>-285.1189</c:v>
              </c:pt>
              <c:pt idx="725">
                <c:v>-285.3535</c:v>
              </c:pt>
              <c:pt idx="726">
                <c:v>-285.58699999999999</c:v>
              </c:pt>
              <c:pt idx="727">
                <c:v>-285.82170000000002</c:v>
              </c:pt>
              <c:pt idx="728">
                <c:v>-286.05579999999998</c:v>
              </c:pt>
              <c:pt idx="729">
                <c:v>-286.28899999999999</c:v>
              </c:pt>
              <c:pt idx="730">
                <c:v>-286.52330000000001</c:v>
              </c:pt>
              <c:pt idx="731">
                <c:v>-286.75650000000002</c:v>
              </c:pt>
              <c:pt idx="732">
                <c:v>-286.9907</c:v>
              </c:pt>
              <c:pt idx="733">
                <c:v>-287.2251</c:v>
              </c:pt>
              <c:pt idx="734">
                <c:v>-287.45830000000001</c:v>
              </c:pt>
              <c:pt idx="735">
                <c:v>-287.69260000000003</c:v>
              </c:pt>
              <c:pt idx="736">
                <c:v>-287.92579999999998</c:v>
              </c:pt>
              <c:pt idx="737">
                <c:v>-288.15999999999997</c:v>
              </c:pt>
              <c:pt idx="738">
                <c:v>-288.39429999999999</c:v>
              </c:pt>
              <c:pt idx="739">
                <c:v>-288.62759999999997</c:v>
              </c:pt>
              <c:pt idx="740">
                <c:v>-288.86189999999999</c:v>
              </c:pt>
              <c:pt idx="741">
                <c:v>-289.09449999999998</c:v>
              </c:pt>
              <c:pt idx="742">
                <c:v>-289.31659999999999</c:v>
              </c:pt>
              <c:pt idx="743">
                <c:v>-289.5378</c:v>
              </c:pt>
              <c:pt idx="744">
                <c:v>-289.75889999999998</c:v>
              </c:pt>
              <c:pt idx="745">
                <c:v>-289.97860000000003</c:v>
              </c:pt>
              <c:pt idx="746">
                <c:v>-290.16769999999997</c:v>
              </c:pt>
              <c:pt idx="747">
                <c:v>-290.35590000000002</c:v>
              </c:pt>
              <c:pt idx="748">
                <c:v>-290.54520000000002</c:v>
              </c:pt>
              <c:pt idx="749">
                <c:v>-290.73340000000002</c:v>
              </c:pt>
              <c:pt idx="750">
                <c:v>-290.92250000000001</c:v>
              </c:pt>
              <c:pt idx="751">
                <c:v>-291.11090000000002</c:v>
              </c:pt>
              <c:pt idx="752">
                <c:v>-291.3</c:v>
              </c:pt>
              <c:pt idx="753">
                <c:v>-291.48820000000001</c:v>
              </c:pt>
              <c:pt idx="754">
                <c:v>-291.67589999999996</c:v>
              </c:pt>
              <c:pt idx="755">
                <c:v>-291.86149999999998</c:v>
              </c:pt>
              <c:pt idx="756">
                <c:v>-292.04790000000003</c:v>
              </c:pt>
              <c:pt idx="757">
                <c:v>-292.23340000000002</c:v>
              </c:pt>
              <c:pt idx="758">
                <c:v>-292.41989999999998</c:v>
              </c:pt>
              <c:pt idx="759">
                <c:v>-292.6053</c:v>
              </c:pt>
              <c:pt idx="760">
                <c:v>-292.79179999999997</c:v>
              </c:pt>
              <c:pt idx="761">
                <c:v>-292.97730000000001</c:v>
              </c:pt>
              <c:pt idx="762">
                <c:v>-293.16379999999998</c:v>
              </c:pt>
              <c:pt idx="763">
                <c:v>-293.3492</c:v>
              </c:pt>
              <c:pt idx="764">
                <c:v>-293.53579999999999</c:v>
              </c:pt>
              <c:pt idx="765">
                <c:v>-293.72219999999999</c:v>
              </c:pt>
              <c:pt idx="766">
                <c:v>-293.90769999999998</c:v>
              </c:pt>
              <c:pt idx="767">
                <c:v>-294.0942</c:v>
              </c:pt>
              <c:pt idx="768">
                <c:v>-294.27960000000002</c:v>
              </c:pt>
              <c:pt idx="769">
                <c:v>-294.46609999999998</c:v>
              </c:pt>
              <c:pt idx="770">
                <c:v>-294.65140000000002</c:v>
              </c:pt>
              <c:pt idx="771">
                <c:v>-294.83629999999999</c:v>
              </c:pt>
              <c:pt idx="772">
                <c:v>-295.01869999999997</c:v>
              </c:pt>
              <c:pt idx="773">
                <c:v>-295.20209999999997</c:v>
              </c:pt>
              <c:pt idx="774">
                <c:v>-295.3843</c:v>
              </c:pt>
              <c:pt idx="775">
                <c:v>-295.56760000000003</c:v>
              </c:pt>
              <c:pt idx="776">
                <c:v>-295.7509</c:v>
              </c:pt>
              <c:pt idx="777">
                <c:v>-295.9332</c:v>
              </c:pt>
              <c:pt idx="778">
                <c:v>-296.11660000000001</c:v>
              </c:pt>
              <c:pt idx="779">
                <c:v>-296.2989</c:v>
              </c:pt>
              <c:pt idx="780">
                <c:v>-296.48219999999998</c:v>
              </c:pt>
              <c:pt idx="781">
                <c:v>-296.66449999999998</c:v>
              </c:pt>
              <c:pt idx="782">
                <c:v>-296.84659999999997</c:v>
              </c:pt>
              <c:pt idx="783">
                <c:v>-297.02670000000001</c:v>
              </c:pt>
              <c:pt idx="784">
                <c:v>-297.20769999999999</c:v>
              </c:pt>
              <c:pt idx="785">
                <c:v>-297.38869999999997</c:v>
              </c:pt>
              <c:pt idx="786">
                <c:v>-297.56979999999999</c:v>
              </c:pt>
              <c:pt idx="787">
                <c:v>-297.75069999999999</c:v>
              </c:pt>
              <c:pt idx="788">
                <c:v>-297.93079999999998</c:v>
              </c:pt>
              <c:pt idx="789">
                <c:v>-298.11180000000002</c:v>
              </c:pt>
              <c:pt idx="790">
                <c:v>-298.2928</c:v>
              </c:pt>
              <c:pt idx="791">
                <c:v>-298.47390000000001</c:v>
              </c:pt>
              <c:pt idx="792">
                <c:v>-298.65500000000003</c:v>
              </c:pt>
              <c:pt idx="793">
                <c:v>-298.83479999999997</c:v>
              </c:pt>
              <c:pt idx="794">
                <c:v>-299.01409999999998</c:v>
              </c:pt>
              <c:pt idx="795">
                <c:v>-299.18490000000003</c:v>
              </c:pt>
              <c:pt idx="796">
                <c:v>-299.35669999999999</c:v>
              </c:pt>
              <c:pt idx="797">
                <c:v>-299.52850000000001</c:v>
              </c:pt>
              <c:pt idx="798">
                <c:v>-299.69920000000002</c:v>
              </c:pt>
              <c:pt idx="799">
                <c:v>-299.87099999999998</c:v>
              </c:pt>
              <c:pt idx="800">
                <c:v>-300.04269999999997</c:v>
              </c:pt>
              <c:pt idx="801">
                <c:v>-300.21449999999999</c:v>
              </c:pt>
              <c:pt idx="802">
                <c:v>-300.3852</c:v>
              </c:pt>
              <c:pt idx="803">
                <c:v>-300.55699999999996</c:v>
              </c:pt>
              <c:pt idx="804">
                <c:v>-300.72879999999998</c:v>
              </c:pt>
              <c:pt idx="805">
                <c:v>-300.89959999999996</c:v>
              </c:pt>
              <c:pt idx="806">
                <c:v>-301.07140000000004</c:v>
              </c:pt>
              <c:pt idx="807">
                <c:v>-301.2432</c:v>
              </c:pt>
              <c:pt idx="808">
                <c:v>-301.41390000000001</c:v>
              </c:pt>
              <c:pt idx="809">
                <c:v>-301.5856</c:v>
              </c:pt>
              <c:pt idx="810">
                <c:v>-301.75740000000002</c:v>
              </c:pt>
              <c:pt idx="811">
                <c:v>-301.9282</c:v>
              </c:pt>
              <c:pt idx="812">
                <c:v>-302.10000000000002</c:v>
              </c:pt>
              <c:pt idx="813">
                <c:v>-302.27179999999998</c:v>
              </c:pt>
              <c:pt idx="814">
                <c:v>-302.44259999999997</c:v>
              </c:pt>
              <c:pt idx="815">
                <c:v>-302.60590000000002</c:v>
              </c:pt>
              <c:pt idx="816">
                <c:v>-302.76499999999999</c:v>
              </c:pt>
              <c:pt idx="817">
                <c:v>-302.92439999999999</c:v>
              </c:pt>
              <c:pt idx="818">
                <c:v>-303.08270000000005</c:v>
              </c:pt>
              <c:pt idx="819">
                <c:v>-303.24209999999999</c:v>
              </c:pt>
              <c:pt idx="820">
                <c:v>-303.40139999999997</c:v>
              </c:pt>
              <c:pt idx="821">
                <c:v>-303.5598</c:v>
              </c:pt>
              <c:pt idx="822">
                <c:v>-303.71889999999996</c:v>
              </c:pt>
              <c:pt idx="823">
                <c:v>-303.87719999999996</c:v>
              </c:pt>
              <c:pt idx="824">
                <c:v>-304.03660000000002</c:v>
              </c:pt>
              <c:pt idx="825">
                <c:v>-304.19589999999999</c:v>
              </c:pt>
              <c:pt idx="826">
                <c:v>-304.35429999999997</c:v>
              </c:pt>
              <c:pt idx="827">
                <c:v>-304.51350000000002</c:v>
              </c:pt>
              <c:pt idx="828">
                <c:v>-304.6728</c:v>
              </c:pt>
              <c:pt idx="829">
                <c:v>-304.83119999999997</c:v>
              </c:pt>
              <c:pt idx="830">
                <c:v>-304.9905</c:v>
              </c:pt>
              <c:pt idx="831">
                <c:v>-305.14879999999999</c:v>
              </c:pt>
              <c:pt idx="832">
                <c:v>-305.30809999999997</c:v>
              </c:pt>
              <c:pt idx="833">
                <c:v>-305.4674</c:v>
              </c:pt>
              <c:pt idx="834">
                <c:v>-305.62569999999999</c:v>
              </c:pt>
              <c:pt idx="835">
                <c:v>-305.7851</c:v>
              </c:pt>
              <c:pt idx="836">
                <c:v>-305.9443</c:v>
              </c:pt>
              <c:pt idx="837">
                <c:v>-306.1026</c:v>
              </c:pt>
              <c:pt idx="838">
                <c:v>-306.26200000000006</c:v>
              </c:pt>
              <c:pt idx="839">
                <c:v>-306.4203</c:v>
              </c:pt>
              <c:pt idx="840">
                <c:v>-306.5795</c:v>
              </c:pt>
              <c:pt idx="841">
                <c:v>-306.7389</c:v>
              </c:pt>
              <c:pt idx="842">
                <c:v>-306.8972</c:v>
              </c:pt>
              <c:pt idx="843">
                <c:v>-307.05650000000003</c:v>
              </c:pt>
              <c:pt idx="844">
                <c:v>-307.21569999999997</c:v>
              </c:pt>
              <c:pt idx="845">
                <c:v>-307.3741</c:v>
              </c:pt>
              <c:pt idx="846">
                <c:v>-307.53340000000003</c:v>
              </c:pt>
              <c:pt idx="847">
                <c:v>-307.69259999999997</c:v>
              </c:pt>
              <c:pt idx="848">
                <c:v>-307.85090000000002</c:v>
              </c:pt>
              <c:pt idx="849">
                <c:v>-308.01029999999997</c:v>
              </c:pt>
              <c:pt idx="850">
                <c:v>-308.16859999999997</c:v>
              </c:pt>
              <c:pt idx="851">
                <c:v>-308.3279</c:v>
              </c:pt>
              <c:pt idx="852">
                <c:v>-308.48720000000003</c:v>
              </c:pt>
              <c:pt idx="853">
                <c:v>-308.64550000000003</c:v>
              </c:pt>
              <c:pt idx="854">
                <c:v>-308.8048</c:v>
              </c:pt>
              <c:pt idx="855">
                <c:v>-308.96409999999997</c:v>
              </c:pt>
              <c:pt idx="856">
                <c:v>-309.1223</c:v>
              </c:pt>
              <c:pt idx="857">
                <c:v>-309.2817</c:v>
              </c:pt>
              <c:pt idx="858">
                <c:v>-309.44110000000001</c:v>
              </c:pt>
              <c:pt idx="859">
                <c:v>-309.59929999999997</c:v>
              </c:pt>
              <c:pt idx="860">
                <c:v>-309.7586</c:v>
              </c:pt>
              <c:pt idx="861">
                <c:v>-309.9169</c:v>
              </c:pt>
              <c:pt idx="862">
                <c:v>-310.07619999999997</c:v>
              </c:pt>
              <c:pt idx="863">
                <c:v>-310.2355</c:v>
              </c:pt>
              <c:pt idx="864">
                <c:v>-310.3938</c:v>
              </c:pt>
              <c:pt idx="865">
                <c:v>-310.5532</c:v>
              </c:pt>
              <c:pt idx="866">
                <c:v>-310.7124</c:v>
              </c:pt>
              <c:pt idx="867">
                <c:v>-310.8707</c:v>
              </c:pt>
              <c:pt idx="868">
                <c:v>-311.03000000000003</c:v>
              </c:pt>
              <c:pt idx="869">
                <c:v>-311.1893</c:v>
              </c:pt>
              <c:pt idx="870">
                <c:v>-311.3476</c:v>
              </c:pt>
              <c:pt idx="871">
                <c:v>-311.50689999999997</c:v>
              </c:pt>
              <c:pt idx="872">
                <c:v>-311.66629999999998</c:v>
              </c:pt>
              <c:pt idx="873">
                <c:v>-311.82450000000006</c:v>
              </c:pt>
              <c:pt idx="874">
                <c:v>-311.98379999999997</c:v>
              </c:pt>
              <c:pt idx="875">
                <c:v>-312.1431</c:v>
              </c:pt>
              <c:pt idx="876">
                <c:v>-312.3014</c:v>
              </c:pt>
              <c:pt idx="877">
                <c:v>-312.4606</c:v>
              </c:pt>
              <c:pt idx="878">
                <c:v>-312.62</c:v>
              </c:pt>
              <c:pt idx="879">
                <c:v>-312.7783</c:v>
              </c:pt>
              <c:pt idx="880">
                <c:v>-312.93760000000003</c:v>
              </c:pt>
              <c:pt idx="881">
                <c:v>-313.09690000000001</c:v>
              </c:pt>
              <c:pt idx="882">
                <c:v>-313.2552</c:v>
              </c:pt>
              <c:pt idx="883">
                <c:v>-313.41460000000001</c:v>
              </c:pt>
              <c:pt idx="884">
                <c:v>-313.57279999999997</c:v>
              </c:pt>
              <c:pt idx="885">
                <c:v>-313.73219999999998</c:v>
              </c:pt>
              <c:pt idx="886">
                <c:v>-313.89140000000003</c:v>
              </c:pt>
              <c:pt idx="887">
                <c:v>-314.0498</c:v>
              </c:pt>
              <c:pt idx="888">
                <c:v>-314.209</c:v>
              </c:pt>
              <c:pt idx="889">
                <c:v>-314.36830000000003</c:v>
              </c:pt>
              <c:pt idx="890">
                <c:v>-314.52660000000003</c:v>
              </c:pt>
              <c:pt idx="891">
                <c:v>-314.6859</c:v>
              </c:pt>
              <c:pt idx="892">
                <c:v>-314.84519999999998</c:v>
              </c:pt>
              <c:pt idx="893">
                <c:v>-315.00349999999997</c:v>
              </c:pt>
              <c:pt idx="894">
                <c:v>-315.1628</c:v>
              </c:pt>
              <c:pt idx="895">
                <c:v>-315.32209999999998</c:v>
              </c:pt>
              <c:pt idx="896">
                <c:v>-315.48040000000003</c:v>
              </c:pt>
              <c:pt idx="897">
                <c:v>-315.63980000000004</c:v>
              </c:pt>
              <c:pt idx="898">
                <c:v>-315.79860000000002</c:v>
              </c:pt>
              <c:pt idx="899">
                <c:v>-315.95740000000001</c:v>
              </c:pt>
              <c:pt idx="900">
                <c:v>-316.11619999999999</c:v>
              </c:pt>
              <c:pt idx="901">
                <c:v>-316.27600000000001</c:v>
              </c:pt>
              <c:pt idx="902">
                <c:v>-316.43379999999996</c:v>
              </c:pt>
              <c:pt idx="903">
                <c:v>-316.59359999999998</c:v>
              </c:pt>
              <c:pt idx="904">
                <c:v>-316.75240000000002</c:v>
              </c:pt>
              <c:pt idx="905">
                <c:v>-316.91120000000001</c:v>
              </c:pt>
              <c:pt idx="906">
                <c:v>-317.07010000000002</c:v>
              </c:pt>
              <c:pt idx="907">
                <c:v>-317.22890000000001</c:v>
              </c:pt>
              <c:pt idx="908">
                <c:v>-317.38780000000003</c:v>
              </c:pt>
              <c:pt idx="909">
                <c:v>-317.54579999999999</c:v>
              </c:pt>
              <c:pt idx="910">
                <c:v>-317.70369999999997</c:v>
              </c:pt>
              <c:pt idx="911">
                <c:v>-317.86369999999999</c:v>
              </c:pt>
              <c:pt idx="912">
                <c:v>-318.02170000000001</c:v>
              </c:pt>
              <c:pt idx="913">
                <c:v>-318.17959999999999</c:v>
              </c:pt>
              <c:pt idx="914">
                <c:v>-318.33949999999999</c:v>
              </c:pt>
              <c:pt idx="915">
                <c:v>-318.4975</c:v>
              </c:pt>
              <c:pt idx="916">
                <c:v>-318.65539999999999</c:v>
              </c:pt>
              <c:pt idx="917">
                <c:v>-318.81330000000003</c:v>
              </c:pt>
              <c:pt idx="918">
                <c:v>-318.97329999999999</c:v>
              </c:pt>
              <c:pt idx="919">
                <c:v>-319.13120000000004</c:v>
              </c:pt>
              <c:pt idx="920">
                <c:v>-319.28919999999999</c:v>
              </c:pt>
              <c:pt idx="921">
                <c:v>-319.44809999999995</c:v>
              </c:pt>
              <c:pt idx="922">
                <c:v>-319.60699999999997</c:v>
              </c:pt>
              <c:pt idx="923">
                <c:v>-319.76499999999999</c:v>
              </c:pt>
              <c:pt idx="924">
                <c:v>-319.9239</c:v>
              </c:pt>
              <c:pt idx="925">
                <c:v>-320.08190000000002</c:v>
              </c:pt>
              <c:pt idx="926">
                <c:v>-320.24080000000004</c:v>
              </c:pt>
              <c:pt idx="927">
                <c:v>-320.39990000000006</c:v>
              </c:pt>
              <c:pt idx="928">
                <c:v>-320.55780000000004</c:v>
              </c:pt>
              <c:pt idx="929">
                <c:v>-320.7167</c:v>
              </c:pt>
              <c:pt idx="930">
                <c:v>-320.87470000000002</c:v>
              </c:pt>
              <c:pt idx="931">
                <c:v>-321.03359999999998</c:v>
              </c:pt>
              <c:pt idx="932">
                <c:v>-321.19159999999999</c:v>
              </c:pt>
              <c:pt idx="933">
                <c:v>-321.35050000000001</c:v>
              </c:pt>
              <c:pt idx="934">
                <c:v>-321.50940000000003</c:v>
              </c:pt>
              <c:pt idx="935">
                <c:v>-321.66739999999999</c:v>
              </c:pt>
              <c:pt idx="936">
                <c:v>-321.82529999999997</c:v>
              </c:pt>
              <c:pt idx="937">
                <c:v>-321.9853</c:v>
              </c:pt>
              <c:pt idx="938">
                <c:v>-322.14319999999998</c:v>
              </c:pt>
              <c:pt idx="939">
                <c:v>-322.30119999999999</c:v>
              </c:pt>
              <c:pt idx="940">
                <c:v>-322.46010000000001</c:v>
              </c:pt>
              <c:pt idx="941">
                <c:v>-322.6191</c:v>
              </c:pt>
              <c:pt idx="942">
                <c:v>-322.7765</c:v>
              </c:pt>
              <c:pt idx="943">
                <c:v>-322.91590000000002</c:v>
              </c:pt>
              <c:pt idx="944">
                <c:v>-323.05619999999999</c:v>
              </c:pt>
              <c:pt idx="945">
                <c:v>-323.19560000000001</c:v>
              </c:pt>
              <c:pt idx="946">
                <c:v>-323.33599999999996</c:v>
              </c:pt>
              <c:pt idx="947">
                <c:v>-323.47539999999998</c:v>
              </c:pt>
              <c:pt idx="948">
                <c:v>-323.61579999999998</c:v>
              </c:pt>
              <c:pt idx="949">
                <c:v>-323.75510000000003</c:v>
              </c:pt>
              <c:pt idx="950">
                <c:v>-323.89550000000003</c:v>
              </c:pt>
              <c:pt idx="951">
                <c:v>-324.03489999999999</c:v>
              </c:pt>
              <c:pt idx="952">
                <c:v>-324.17630000000003</c:v>
              </c:pt>
              <c:pt idx="953">
                <c:v>-324.31569999999999</c:v>
              </c:pt>
              <c:pt idx="954">
                <c:v>-324.45600000000002</c:v>
              </c:pt>
              <c:pt idx="955">
                <c:v>-324.59540000000004</c:v>
              </c:pt>
              <c:pt idx="956">
                <c:v>-324.73480000000001</c:v>
              </c:pt>
              <c:pt idx="957">
                <c:v>-324.87519999999995</c:v>
              </c:pt>
              <c:pt idx="958">
                <c:v>-325.01409999999998</c:v>
              </c:pt>
              <c:pt idx="959">
                <c:v>-325.15290000000005</c:v>
              </c:pt>
              <c:pt idx="960">
                <c:v>-325.29179999999997</c:v>
              </c:pt>
              <c:pt idx="961">
                <c:v>-325.42959999999999</c:v>
              </c:pt>
              <c:pt idx="962">
                <c:v>-325.5684</c:v>
              </c:pt>
              <c:pt idx="963">
                <c:v>-325.70730000000003</c:v>
              </c:pt>
              <c:pt idx="964">
                <c:v>-325.84609999999998</c:v>
              </c:pt>
              <c:pt idx="965">
                <c:v>-325.98500000000001</c:v>
              </c:pt>
              <c:pt idx="966">
                <c:v>-326.12279999999998</c:v>
              </c:pt>
              <c:pt idx="967">
                <c:v>-326.26170000000002</c:v>
              </c:pt>
              <c:pt idx="968">
                <c:v>-326.40050000000002</c:v>
              </c:pt>
              <c:pt idx="969">
                <c:v>-326.5394</c:v>
              </c:pt>
              <c:pt idx="970">
                <c:v>-326.67719999999997</c:v>
              </c:pt>
              <c:pt idx="971">
                <c:v>-326.81709999999998</c:v>
              </c:pt>
              <c:pt idx="972">
                <c:v>-326.95589999999999</c:v>
              </c:pt>
              <c:pt idx="973">
                <c:v>-327.09480000000002</c:v>
              </c:pt>
              <c:pt idx="974">
                <c:v>-327.23360000000002</c:v>
              </c:pt>
              <c:pt idx="975">
                <c:v>-327.37149999999997</c:v>
              </c:pt>
              <c:pt idx="976">
                <c:v>-327.5102</c:v>
              </c:pt>
              <c:pt idx="977">
                <c:v>-327.64869999999996</c:v>
              </c:pt>
              <c:pt idx="978">
                <c:v>-327.78710000000001</c:v>
              </c:pt>
              <c:pt idx="979">
                <c:v>-327.9255</c:v>
              </c:pt>
              <c:pt idx="980">
                <c:v>-328.06290000000001</c:v>
              </c:pt>
              <c:pt idx="981">
                <c:v>-328.20240000000001</c:v>
              </c:pt>
              <c:pt idx="982">
                <c:v>-328.33979999999997</c:v>
              </c:pt>
              <c:pt idx="983">
                <c:v>-328.47919999999999</c:v>
              </c:pt>
              <c:pt idx="984">
                <c:v>-328.61660000000001</c:v>
              </c:pt>
              <c:pt idx="985">
                <c:v>-328.75599999999997</c:v>
              </c:pt>
              <c:pt idx="986">
                <c:v>-328.89340000000004</c:v>
              </c:pt>
              <c:pt idx="987">
                <c:v>-329.03290000000004</c:v>
              </c:pt>
              <c:pt idx="988">
                <c:v>-329.1703</c:v>
              </c:pt>
              <c:pt idx="989">
                <c:v>-329.30870000000004</c:v>
              </c:pt>
              <c:pt idx="990">
                <c:v>-329.44709999999998</c:v>
              </c:pt>
              <c:pt idx="991">
                <c:v>-329.58550000000002</c:v>
              </c:pt>
              <c:pt idx="992">
                <c:v>-329.72399999999999</c:v>
              </c:pt>
              <c:pt idx="993">
                <c:v>-329.86239999999998</c:v>
              </c:pt>
              <c:pt idx="994">
                <c:v>-330.00079999999997</c:v>
              </c:pt>
              <c:pt idx="995">
                <c:v>-330.13920000000002</c:v>
              </c:pt>
              <c:pt idx="996">
                <c:v>-330.27770000000004</c:v>
              </c:pt>
              <c:pt idx="997">
                <c:v>-330.41610000000003</c:v>
              </c:pt>
              <c:pt idx="998">
                <c:v>-330.55450000000002</c:v>
              </c:pt>
              <c:pt idx="999">
                <c:v>-330.69290000000001</c:v>
              </c:pt>
              <c:pt idx="1000">
                <c:v>-330.83040000000005</c:v>
              </c:pt>
              <c:pt idx="1001">
                <c:v>-330.96969999999999</c:v>
              </c:pt>
              <c:pt idx="1002">
                <c:v>-331.1071</c:v>
              </c:pt>
              <c:pt idx="1003">
                <c:v>-331.24650000000003</c:v>
              </c:pt>
              <c:pt idx="1004">
                <c:v>-331.38400000000001</c:v>
              </c:pt>
              <c:pt idx="1005">
                <c:v>-331.52109999999999</c:v>
              </c:pt>
              <c:pt idx="1006">
                <c:v>-331.6601</c:v>
              </c:pt>
              <c:pt idx="1007">
                <c:v>-331.7971</c:v>
              </c:pt>
              <c:pt idx="1008">
                <c:v>-331.93399999999997</c:v>
              </c:pt>
              <c:pt idx="1009">
                <c:v>-332.07099999999997</c:v>
              </c:pt>
              <c:pt idx="1010">
                <c:v>-332.20910000000003</c:v>
              </c:pt>
              <c:pt idx="1011">
                <c:v>-332.34609999999998</c:v>
              </c:pt>
              <c:pt idx="1012">
                <c:v>-332.48310000000004</c:v>
              </c:pt>
              <c:pt idx="1013">
                <c:v>-332.62200000000001</c:v>
              </c:pt>
              <c:pt idx="1014">
                <c:v>-332.75900000000001</c:v>
              </c:pt>
              <c:pt idx="1015">
                <c:v>-332.89600000000002</c:v>
              </c:pt>
              <c:pt idx="1016">
                <c:v>-333.03300000000002</c:v>
              </c:pt>
              <c:pt idx="1017">
                <c:v>-333.17099999999999</c:v>
              </c:pt>
              <c:pt idx="1018">
                <c:v>-333.30799999999999</c:v>
              </c:pt>
              <c:pt idx="1019">
                <c:v>-333.44499999999999</c:v>
              </c:pt>
              <c:pt idx="1020">
                <c:v>-333.58299999999997</c:v>
              </c:pt>
              <c:pt idx="1021">
                <c:v>-333.72090000000003</c:v>
              </c:pt>
              <c:pt idx="1022">
                <c:v>-333.85789999999997</c:v>
              </c:pt>
              <c:pt idx="1023">
                <c:v>-333.995</c:v>
              </c:pt>
              <c:pt idx="1024">
                <c:v>-334.13200000000001</c:v>
              </c:pt>
              <c:pt idx="1025">
                <c:v>-334.26990000000001</c:v>
              </c:pt>
              <c:pt idx="1026">
                <c:v>-334.40690000000001</c:v>
              </c:pt>
              <c:pt idx="1027">
                <c:v>-334.54390000000001</c:v>
              </c:pt>
              <c:pt idx="1028">
                <c:v>-334.68299999999999</c:v>
              </c:pt>
              <c:pt idx="1029">
                <c:v>-334.81989999999996</c:v>
              </c:pt>
              <c:pt idx="1030">
                <c:v>-334.95690000000002</c:v>
              </c:pt>
              <c:pt idx="1031">
                <c:v>-335.09390000000002</c:v>
              </c:pt>
              <c:pt idx="1032">
                <c:v>-335.2319</c:v>
              </c:pt>
              <c:pt idx="1033">
                <c:v>-335.36890000000005</c:v>
              </c:pt>
              <c:pt idx="1034">
                <c:v>-335.50689999999997</c:v>
              </c:pt>
              <c:pt idx="1035">
                <c:v>-335.64390000000003</c:v>
              </c:pt>
              <c:pt idx="1036">
                <c:v>-335.78189999999995</c:v>
              </c:pt>
              <c:pt idx="1037">
                <c:v>-335.91890000000001</c:v>
              </c:pt>
              <c:pt idx="1038">
                <c:v>-336.05590000000001</c:v>
              </c:pt>
              <c:pt idx="1039">
                <c:v>-336.19290000000001</c:v>
              </c:pt>
              <c:pt idx="1040">
                <c:v>-336.33090000000004</c:v>
              </c:pt>
              <c:pt idx="1041">
                <c:v>-336.46890000000002</c:v>
              </c:pt>
              <c:pt idx="1042">
                <c:v>-336.60579999999999</c:v>
              </c:pt>
              <c:pt idx="1043">
                <c:v>-336.74290000000002</c:v>
              </c:pt>
              <c:pt idx="1044">
                <c:v>-336.8809</c:v>
              </c:pt>
              <c:pt idx="1045">
                <c:v>-337.01779999999997</c:v>
              </c:pt>
              <c:pt idx="1046">
                <c:v>-337.1549</c:v>
              </c:pt>
              <c:pt idx="1047">
                <c:v>-337.29190000000006</c:v>
              </c:pt>
              <c:pt idx="1048">
                <c:v>-337.43079999999998</c:v>
              </c:pt>
              <c:pt idx="1049">
                <c:v>-337.56790000000001</c:v>
              </c:pt>
              <c:pt idx="1050">
                <c:v>-337.70490000000001</c:v>
              </c:pt>
              <c:pt idx="1051">
                <c:v>-337.84190000000001</c:v>
              </c:pt>
              <c:pt idx="1052">
                <c:v>-337.97990000000004</c:v>
              </c:pt>
              <c:pt idx="1053">
                <c:v>-338.11669999999998</c:v>
              </c:pt>
              <c:pt idx="1054">
                <c:v>-338.25360000000001</c:v>
              </c:pt>
              <c:pt idx="1055">
                <c:v>-338.39030000000002</c:v>
              </c:pt>
              <c:pt idx="1056">
                <c:v>-338.52719999999999</c:v>
              </c:pt>
              <c:pt idx="1057">
                <c:v>-338.66399999999999</c:v>
              </c:pt>
              <c:pt idx="1058">
                <c:v>-338.80189999999999</c:v>
              </c:pt>
              <c:pt idx="1059">
                <c:v>-338.93870000000004</c:v>
              </c:pt>
              <c:pt idx="1060">
                <c:v>-339.07560000000001</c:v>
              </c:pt>
              <c:pt idx="1061">
                <c:v>-339.2124</c:v>
              </c:pt>
              <c:pt idx="1062">
                <c:v>-339.34930000000003</c:v>
              </c:pt>
              <c:pt idx="1063">
                <c:v>-339.48599999999999</c:v>
              </c:pt>
              <c:pt idx="1064">
                <c:v>-339.62290000000002</c:v>
              </c:pt>
              <c:pt idx="1065">
                <c:v>-339.76069999999999</c:v>
              </c:pt>
              <c:pt idx="1066">
                <c:v>-339.89749999999998</c:v>
              </c:pt>
              <c:pt idx="1067">
                <c:v>-340.03440000000001</c:v>
              </c:pt>
              <c:pt idx="1068">
                <c:v>-340.1712</c:v>
              </c:pt>
              <c:pt idx="1069">
                <c:v>-340.30810000000002</c:v>
              </c:pt>
              <c:pt idx="1070">
                <c:v>-340.44489999999996</c:v>
              </c:pt>
              <c:pt idx="1071">
                <c:v>-340.58280000000002</c:v>
              </c:pt>
              <c:pt idx="1072">
                <c:v>-340.71960000000001</c:v>
              </c:pt>
              <c:pt idx="1073">
                <c:v>-340.85640000000001</c:v>
              </c:pt>
              <c:pt idx="1074">
                <c:v>-340.99329999999998</c:v>
              </c:pt>
              <c:pt idx="1075">
                <c:v>-341.12970000000001</c:v>
              </c:pt>
              <c:pt idx="1076">
                <c:v>-341.26690000000002</c:v>
              </c:pt>
              <c:pt idx="1077">
                <c:v>-341.40409999999997</c:v>
              </c:pt>
              <c:pt idx="1078">
                <c:v>-341.54040000000003</c:v>
              </c:pt>
              <c:pt idx="1079">
                <c:v>-341.67759999999998</c:v>
              </c:pt>
              <c:pt idx="1080">
                <c:v>-341.81389999999999</c:v>
              </c:pt>
              <c:pt idx="1081">
                <c:v>-341.95010000000002</c:v>
              </c:pt>
              <c:pt idx="1082">
                <c:v>-342.0874</c:v>
              </c:pt>
              <c:pt idx="1083">
                <c:v>-342.22360000000003</c:v>
              </c:pt>
              <c:pt idx="1084">
                <c:v>-342.35979999999995</c:v>
              </c:pt>
              <c:pt idx="1085">
                <c:v>-342.49810000000002</c:v>
              </c:pt>
              <c:pt idx="1086">
                <c:v>-342.6343</c:v>
              </c:pt>
              <c:pt idx="1087">
                <c:v>-342.77049999999997</c:v>
              </c:pt>
              <c:pt idx="1088">
                <c:v>-342.90780000000001</c:v>
              </c:pt>
              <c:pt idx="1089">
                <c:v>-343.04410000000001</c:v>
              </c:pt>
              <c:pt idx="1090">
                <c:v>-343.18029999999999</c:v>
              </c:pt>
              <c:pt idx="1091">
                <c:v>-343.3175</c:v>
              </c:pt>
              <c:pt idx="1092">
                <c:v>-343.4538</c:v>
              </c:pt>
              <c:pt idx="1093">
                <c:v>-343.59010000000001</c:v>
              </c:pt>
              <c:pt idx="1094">
                <c:v>-343.72829999999999</c:v>
              </c:pt>
              <c:pt idx="1095">
                <c:v>-343.86450000000002</c:v>
              </c:pt>
              <c:pt idx="1096">
                <c:v>-344.00080000000003</c:v>
              </c:pt>
              <c:pt idx="1097">
                <c:v>-344.13799999999998</c:v>
              </c:pt>
              <c:pt idx="1098">
                <c:v>-344.27429999999998</c:v>
              </c:pt>
              <c:pt idx="1099">
                <c:v>-344.41050000000001</c:v>
              </c:pt>
              <c:pt idx="1100">
                <c:v>-344.54669999999999</c:v>
              </c:pt>
              <c:pt idx="1101">
                <c:v>-344.68399999999997</c:v>
              </c:pt>
              <c:pt idx="1102">
                <c:v>-344.82120000000003</c:v>
              </c:pt>
              <c:pt idx="1103">
                <c:v>-344.95749999999998</c:v>
              </c:pt>
              <c:pt idx="1104">
                <c:v>-345.09479999999996</c:v>
              </c:pt>
              <c:pt idx="1105">
                <c:v>-345.23099999999999</c:v>
              </c:pt>
              <c:pt idx="1106">
                <c:v>-345.3673</c:v>
              </c:pt>
              <c:pt idx="1107">
                <c:v>-345.50450000000001</c:v>
              </c:pt>
              <c:pt idx="1108">
                <c:v>-345.64070000000004</c:v>
              </c:pt>
              <c:pt idx="1109">
                <c:v>-345.77699999999999</c:v>
              </c:pt>
              <c:pt idx="1110">
                <c:v>-345.91520000000003</c:v>
              </c:pt>
              <c:pt idx="1111">
                <c:v>-346.05149999999998</c:v>
              </c:pt>
              <c:pt idx="1112">
                <c:v>-346.18780000000004</c:v>
              </c:pt>
              <c:pt idx="1113">
                <c:v>-346.32500000000005</c:v>
              </c:pt>
              <c:pt idx="1114">
                <c:v>-346.46129999999999</c:v>
              </c:pt>
              <c:pt idx="1115">
                <c:v>-346.59749999999997</c:v>
              </c:pt>
              <c:pt idx="1116">
                <c:v>-346.73469999999998</c:v>
              </c:pt>
              <c:pt idx="1117">
                <c:v>-346.87200000000001</c:v>
              </c:pt>
              <c:pt idx="1118">
                <c:v>-347.00819999999999</c:v>
              </c:pt>
              <c:pt idx="1119">
                <c:v>-347.14549999999997</c:v>
              </c:pt>
              <c:pt idx="1120">
                <c:v>-347.2817</c:v>
              </c:pt>
              <c:pt idx="1121">
                <c:v>-347.41800000000001</c:v>
              </c:pt>
              <c:pt idx="1122">
                <c:v>-347.55520000000001</c:v>
              </c:pt>
              <c:pt idx="1123">
                <c:v>-347.69150000000002</c:v>
              </c:pt>
              <c:pt idx="1124">
                <c:v>-347.82869999999997</c:v>
              </c:pt>
              <c:pt idx="1125">
                <c:v>-347.96500000000003</c:v>
              </c:pt>
              <c:pt idx="1126">
                <c:v>-348.10230000000001</c:v>
              </c:pt>
              <c:pt idx="1127">
                <c:v>-348.23849999999999</c:v>
              </c:pt>
              <c:pt idx="1128">
                <c:v>-348.37480000000005</c:v>
              </c:pt>
              <c:pt idx="1129">
                <c:v>-348.51200000000006</c:v>
              </c:pt>
              <c:pt idx="1130">
                <c:v>-348.64830000000001</c:v>
              </c:pt>
              <c:pt idx="1131">
                <c:v>-348.78549999999996</c:v>
              </c:pt>
              <c:pt idx="1132">
                <c:v>-348.9228</c:v>
              </c:pt>
              <c:pt idx="1133">
                <c:v>-349.05900000000003</c:v>
              </c:pt>
              <c:pt idx="1134">
                <c:v>-349.19529999999997</c:v>
              </c:pt>
              <c:pt idx="1135">
                <c:v>-349.33249999999998</c:v>
              </c:pt>
              <c:pt idx="1136">
                <c:v>-349.46879999999999</c:v>
              </c:pt>
              <c:pt idx="1137">
                <c:v>-349.60500000000002</c:v>
              </c:pt>
              <c:pt idx="1138">
                <c:v>-349.7423</c:v>
              </c:pt>
              <c:pt idx="1139">
                <c:v>-349.87950000000001</c:v>
              </c:pt>
              <c:pt idx="1140">
                <c:v>-350.01580000000001</c:v>
              </c:pt>
              <c:pt idx="1141">
                <c:v>-350.15199999999999</c:v>
              </c:pt>
              <c:pt idx="1142">
                <c:v>-350.28929999999997</c:v>
              </c:pt>
              <c:pt idx="1143">
                <c:v>-350.4255</c:v>
              </c:pt>
              <c:pt idx="1144">
                <c:v>-350.56189999999998</c:v>
              </c:pt>
              <c:pt idx="1145">
                <c:v>-350.70010000000002</c:v>
              </c:pt>
              <c:pt idx="1146">
                <c:v>-350.83640000000003</c:v>
              </c:pt>
              <c:pt idx="1147">
                <c:v>-350.9726</c:v>
              </c:pt>
              <c:pt idx="1148">
                <c:v>-351.10989999999998</c:v>
              </c:pt>
              <c:pt idx="1149">
                <c:v>-351.24610000000001</c:v>
              </c:pt>
              <c:pt idx="1150">
                <c:v>-351.38229999999999</c:v>
              </c:pt>
              <c:pt idx="1151">
                <c:v>-351.51959999999997</c:v>
              </c:pt>
              <c:pt idx="1152">
                <c:v>-351.65679999999998</c:v>
              </c:pt>
              <c:pt idx="1153">
                <c:v>-351.79320000000001</c:v>
              </c:pt>
              <c:pt idx="1154">
                <c:v>-351.92939999999999</c:v>
              </c:pt>
              <c:pt idx="1155">
                <c:v>-352.06669999999997</c:v>
              </c:pt>
              <c:pt idx="1156">
                <c:v>-352.20290000000006</c:v>
              </c:pt>
              <c:pt idx="1157">
                <c:v>-352.33920000000001</c:v>
              </c:pt>
              <c:pt idx="1158">
                <c:v>-352.47739999999999</c:v>
              </c:pt>
              <c:pt idx="1159">
                <c:v>-352.61360000000002</c:v>
              </c:pt>
              <c:pt idx="1160">
                <c:v>-352.75</c:v>
              </c:pt>
              <c:pt idx="1161">
                <c:v>-352.88620000000003</c:v>
              </c:pt>
              <c:pt idx="1162">
                <c:v>-353.02350000000001</c:v>
              </c:pt>
              <c:pt idx="1163">
                <c:v>-353.15969999999999</c:v>
              </c:pt>
              <c:pt idx="1164">
                <c:v>-353.29689999999999</c:v>
              </c:pt>
              <c:pt idx="1165">
                <c:v>-353.43430000000001</c:v>
              </c:pt>
              <c:pt idx="1166">
                <c:v>-353.57050000000004</c:v>
              </c:pt>
              <c:pt idx="1167">
                <c:v>-353.70679999999999</c:v>
              </c:pt>
              <c:pt idx="1168">
                <c:v>-353.84300000000002</c:v>
              </c:pt>
              <c:pt idx="1169">
                <c:v>-353.98019999999997</c:v>
              </c:pt>
              <c:pt idx="1170">
                <c:v>-354.11759999999998</c:v>
              </c:pt>
              <c:pt idx="1171">
                <c:v>-354.25380000000001</c:v>
              </c:pt>
              <c:pt idx="1172">
                <c:v>-354.39099999999996</c:v>
              </c:pt>
              <c:pt idx="1173">
                <c:v>-354.52729999999997</c:v>
              </c:pt>
              <c:pt idx="1174">
                <c:v>-354.66359999999997</c:v>
              </c:pt>
              <c:pt idx="1175">
                <c:v>-354.7998</c:v>
              </c:pt>
              <c:pt idx="1176">
                <c:v>-354.93810000000002</c:v>
              </c:pt>
              <c:pt idx="1177">
                <c:v>-355.07439999999997</c:v>
              </c:pt>
              <c:pt idx="1178">
                <c:v>-355.21070000000003</c:v>
              </c:pt>
              <c:pt idx="1179">
                <c:v>-355.34789999999998</c:v>
              </c:pt>
              <c:pt idx="1180">
                <c:v>-355.48410000000001</c:v>
              </c:pt>
              <c:pt idx="1181">
                <c:v>-355.62149999999997</c:v>
              </c:pt>
              <c:pt idx="1182">
                <c:v>-355.7577</c:v>
              </c:pt>
              <c:pt idx="1183">
                <c:v>-355.89490000000001</c:v>
              </c:pt>
              <c:pt idx="1184">
                <c:v>-356.03129999999999</c:v>
              </c:pt>
              <c:pt idx="1185">
                <c:v>-356.16750000000002</c:v>
              </c:pt>
              <c:pt idx="1186">
                <c:v>-356.30470000000003</c:v>
              </c:pt>
              <c:pt idx="1187">
                <c:v>-356.44200000000001</c:v>
              </c:pt>
              <c:pt idx="1188">
                <c:v>-356.57829999999996</c:v>
              </c:pt>
              <c:pt idx="1189">
                <c:v>-356.71449999999999</c:v>
              </c:pt>
              <c:pt idx="1190">
                <c:v>-356.85179999999997</c:v>
              </c:pt>
              <c:pt idx="1191">
                <c:v>-356.98810000000003</c:v>
              </c:pt>
              <c:pt idx="1192">
                <c:v>-357.12529999999998</c:v>
              </c:pt>
              <c:pt idx="1193">
                <c:v>-357.26260000000002</c:v>
              </c:pt>
              <c:pt idx="1194">
                <c:v>-357.39880000000005</c:v>
              </c:pt>
              <c:pt idx="1195">
                <c:v>-357.5351</c:v>
              </c:pt>
              <c:pt idx="1196">
                <c:v>-357.67140000000001</c:v>
              </c:pt>
              <c:pt idx="1197">
                <c:v>-357.80859999999996</c:v>
              </c:pt>
              <c:pt idx="1198">
                <c:v>-357.94599999999997</c:v>
              </c:pt>
              <c:pt idx="1199">
                <c:v>-358.0822</c:v>
              </c:pt>
              <c:pt idx="1200">
                <c:v>-358.21940000000001</c:v>
              </c:pt>
              <c:pt idx="1201">
                <c:v>-358.35570000000001</c:v>
              </c:pt>
              <c:pt idx="1202">
                <c:v>-358.49199999999996</c:v>
              </c:pt>
              <c:pt idx="1203">
                <c:v>-358.6293</c:v>
              </c:pt>
              <c:pt idx="1204">
                <c:v>-358.76650000000006</c:v>
              </c:pt>
              <c:pt idx="1205">
                <c:v>-358.90279999999996</c:v>
              </c:pt>
              <c:pt idx="1206">
                <c:v>-359.03910000000002</c:v>
              </c:pt>
              <c:pt idx="1207">
                <c:v>-359.17540000000002</c:v>
              </c:pt>
              <c:pt idx="1208">
                <c:v>-359.31360000000001</c:v>
              </c:pt>
              <c:pt idx="1209">
                <c:v>-359.44979999999998</c:v>
              </c:pt>
              <c:pt idx="1210">
                <c:v>-359.58609999999999</c:v>
              </c:pt>
              <c:pt idx="1211">
                <c:v>-359.72340000000003</c:v>
              </c:pt>
              <c:pt idx="1212">
                <c:v>-359.85969999999998</c:v>
              </c:pt>
              <c:pt idx="1213">
                <c:v>-359.99590000000001</c:v>
              </c:pt>
              <c:pt idx="1214">
                <c:v>-360.13319999999999</c:v>
              </c:pt>
              <c:pt idx="1215">
                <c:v>-360.27049999999997</c:v>
              </c:pt>
              <c:pt idx="1216">
                <c:v>-360.40679999999998</c:v>
              </c:pt>
              <c:pt idx="1217">
                <c:v>-360.54300000000001</c:v>
              </c:pt>
              <c:pt idx="1218">
                <c:v>-360.67930000000001</c:v>
              </c:pt>
              <c:pt idx="1219">
                <c:v>-360.81270000000001</c:v>
              </c:pt>
              <c:pt idx="1220">
                <c:v>-360.94280000000003</c:v>
              </c:pt>
              <c:pt idx="1221">
                <c:v>-361.0729</c:v>
              </c:pt>
              <c:pt idx="1222">
                <c:v>-361.20299999999997</c:v>
              </c:pt>
              <c:pt idx="1223">
                <c:v>-361.3331</c:v>
              </c:pt>
              <c:pt idx="1224">
                <c:v>-361.46230000000003</c:v>
              </c:pt>
              <c:pt idx="1225">
                <c:v>-361.5924</c:v>
              </c:pt>
              <c:pt idx="1226">
                <c:v>-361.72249999999997</c:v>
              </c:pt>
              <c:pt idx="1227">
                <c:v>-361.85149999999999</c:v>
              </c:pt>
              <c:pt idx="1228">
                <c:v>-361.98259999999999</c:v>
              </c:pt>
              <c:pt idx="1229">
                <c:v>-362.11249999999995</c:v>
              </c:pt>
              <c:pt idx="1230">
                <c:v>-362.24160000000001</c:v>
              </c:pt>
              <c:pt idx="1231">
                <c:v>-362.3716</c:v>
              </c:pt>
              <c:pt idx="1232">
                <c:v>-362.47890000000001</c:v>
              </c:pt>
              <c:pt idx="1233">
                <c:v>-362.58360000000005</c:v>
              </c:pt>
              <c:pt idx="1234">
                <c:v>-362.68740000000003</c:v>
              </c:pt>
              <c:pt idx="1235">
                <c:v>-362.79219999999998</c:v>
              </c:pt>
              <c:pt idx="1236">
                <c:v>-362.89599999999996</c:v>
              </c:pt>
              <c:pt idx="1237">
                <c:v>-362.99970000000002</c:v>
              </c:pt>
              <c:pt idx="1238">
                <c:v>-363.10450000000003</c:v>
              </c:pt>
              <c:pt idx="1239">
                <c:v>-363.20830000000001</c:v>
              </c:pt>
              <c:pt idx="1240">
                <c:v>-363.31309999999996</c:v>
              </c:pt>
              <c:pt idx="1241">
                <c:v>-363.4169</c:v>
              </c:pt>
              <c:pt idx="1242">
                <c:v>-363.52160000000003</c:v>
              </c:pt>
              <c:pt idx="1243">
                <c:v>-363.62539999999996</c:v>
              </c:pt>
              <c:pt idx="1244">
                <c:v>-363.73019999999997</c:v>
              </c:pt>
              <c:pt idx="1245">
                <c:v>-363.834</c:v>
              </c:pt>
              <c:pt idx="1246">
                <c:v>-363.93669999999997</c:v>
              </c:pt>
              <c:pt idx="1247">
                <c:v>-364.03530000000001</c:v>
              </c:pt>
              <c:pt idx="1248">
                <c:v>-364.13200000000001</c:v>
              </c:pt>
              <c:pt idx="1249">
                <c:v>-364.22970000000004</c:v>
              </c:pt>
              <c:pt idx="1250">
                <c:v>-364.32640000000004</c:v>
              </c:pt>
              <c:pt idx="1251">
                <c:v>-364.42409999999995</c:v>
              </c:pt>
              <c:pt idx="1252">
                <c:v>-364.52180000000004</c:v>
              </c:pt>
              <c:pt idx="1253">
                <c:v>-364.61840000000007</c:v>
              </c:pt>
              <c:pt idx="1254">
                <c:v>-364.71620000000001</c:v>
              </c:pt>
              <c:pt idx="1255">
                <c:v>-364.81290000000001</c:v>
              </c:pt>
              <c:pt idx="1256">
                <c:v>-364.91050000000001</c:v>
              </c:pt>
              <c:pt idx="1257">
                <c:v>-365.00819999999999</c:v>
              </c:pt>
              <c:pt idx="1258">
                <c:v>-365.10599999999999</c:v>
              </c:pt>
              <c:pt idx="1259">
                <c:v>-365.20260000000002</c:v>
              </c:pt>
              <c:pt idx="1260">
                <c:v>-365.30029999999999</c:v>
              </c:pt>
              <c:pt idx="1261">
                <c:v>-365.39800000000002</c:v>
              </c:pt>
              <c:pt idx="1262">
                <c:v>-365.49470000000002</c:v>
              </c:pt>
              <c:pt idx="1263">
                <c:v>-365.5924</c:v>
              </c:pt>
              <c:pt idx="1264">
                <c:v>-365.68899999999996</c:v>
              </c:pt>
              <c:pt idx="1265">
                <c:v>-365.78679999999997</c:v>
              </c:pt>
              <c:pt idx="1266">
                <c:v>-365.88349999999997</c:v>
              </c:pt>
              <c:pt idx="1267">
                <c:v>-365.98109999999997</c:v>
              </c:pt>
              <c:pt idx="1268">
                <c:v>-366.07889999999998</c:v>
              </c:pt>
              <c:pt idx="1269">
                <c:v>-366.16559999999998</c:v>
              </c:pt>
              <c:pt idx="1270">
                <c:v>-366.2088</c:v>
              </c:pt>
              <c:pt idx="1271">
                <c:v>-366.25200000000001</c:v>
              </c:pt>
              <c:pt idx="1272">
                <c:v>-366.29509999999999</c:v>
              </c:pt>
              <c:pt idx="1273">
                <c:v>-366.3383</c:v>
              </c:pt>
              <c:pt idx="1274">
                <c:v>-366.38249999999999</c:v>
              </c:pt>
              <c:pt idx="1275">
                <c:v>-366.42570000000001</c:v>
              </c:pt>
              <c:pt idx="1276">
                <c:v>-366.46890000000002</c:v>
              </c:pt>
              <c:pt idx="1277">
                <c:v>-366.512</c:v>
              </c:pt>
              <c:pt idx="1278">
                <c:v>-366.55520000000001</c:v>
              </c:pt>
              <c:pt idx="1279">
                <c:v>-366.59840000000003</c:v>
              </c:pt>
              <c:pt idx="1280">
                <c:v>-366.64260000000002</c:v>
              </c:pt>
              <c:pt idx="1281">
                <c:v>-366.6857</c:v>
              </c:pt>
              <c:pt idx="1282">
                <c:v>-366.72889999999995</c:v>
              </c:pt>
              <c:pt idx="1283">
                <c:v>-366.77210000000002</c:v>
              </c:pt>
              <c:pt idx="1284">
                <c:v>-366.81509999999997</c:v>
              </c:pt>
              <c:pt idx="1285">
                <c:v>-366.85930000000002</c:v>
              </c:pt>
              <c:pt idx="1286">
                <c:v>-366.90249999999997</c:v>
              </c:pt>
              <c:pt idx="1287">
                <c:v>-366.94569999999999</c:v>
              </c:pt>
              <c:pt idx="1288">
                <c:v>-366.98880000000003</c:v>
              </c:pt>
              <c:pt idx="1289">
                <c:v>-367.03200000000004</c:v>
              </c:pt>
              <c:pt idx="1290">
                <c:v>-367.0752</c:v>
              </c:pt>
              <c:pt idx="1291">
                <c:v>-367.11929999999995</c:v>
              </c:pt>
              <c:pt idx="1292">
                <c:v>-367.16250000000002</c:v>
              </c:pt>
              <c:pt idx="1293">
                <c:v>-367.20569999999998</c:v>
              </c:pt>
              <c:pt idx="1294">
                <c:v>-367.24880000000002</c:v>
              </c:pt>
              <c:pt idx="1295">
                <c:v>-367.29200000000003</c:v>
              </c:pt>
              <c:pt idx="1296">
                <c:v>-367.33510000000001</c:v>
              </c:pt>
              <c:pt idx="1297">
                <c:v>-367.3793</c:v>
              </c:pt>
              <c:pt idx="1298">
                <c:v>-367.42240000000004</c:v>
              </c:pt>
              <c:pt idx="1299">
                <c:v>-367.46550000000002</c:v>
              </c:pt>
              <c:pt idx="1300">
                <c:v>-367.50869999999998</c:v>
              </c:pt>
              <c:pt idx="1301">
                <c:v>-367.55180000000001</c:v>
              </c:pt>
              <c:pt idx="1302">
                <c:v>-367.596</c:v>
              </c:pt>
              <c:pt idx="1303">
                <c:v>-367.63919999999996</c:v>
              </c:pt>
              <c:pt idx="1304">
                <c:v>-367.6823</c:v>
              </c:pt>
              <c:pt idx="1305">
                <c:v>-367.72549999999995</c:v>
              </c:pt>
              <c:pt idx="1306">
                <c:v>-367.76859999999999</c:v>
              </c:pt>
              <c:pt idx="1307">
                <c:v>-367.81180000000001</c:v>
              </c:pt>
              <c:pt idx="1308">
                <c:v>-367.85589999999996</c:v>
              </c:pt>
              <c:pt idx="1309">
                <c:v>-367.89909999999998</c:v>
              </c:pt>
              <c:pt idx="1310">
                <c:v>-367.94209999999998</c:v>
              </c:pt>
              <c:pt idx="1311">
                <c:v>-367.98630000000003</c:v>
              </c:pt>
              <c:pt idx="1312">
                <c:v>-368.02940000000001</c:v>
              </c:pt>
              <c:pt idx="1313">
                <c:v>-368.07139999999998</c:v>
              </c:pt>
              <c:pt idx="1314">
                <c:v>-368.11439999999999</c:v>
              </c:pt>
              <c:pt idx="1315">
                <c:v>-368.1574</c:v>
              </c:pt>
              <c:pt idx="1316">
                <c:v>-368.2004</c:v>
              </c:pt>
              <c:pt idx="1317">
                <c:v>-368.24329999999998</c:v>
              </c:pt>
              <c:pt idx="1318">
                <c:v>-368.28629999999998</c:v>
              </c:pt>
              <c:pt idx="1319">
                <c:v>-368.3272</c:v>
              </c:pt>
              <c:pt idx="1320">
                <c:v>-368.37019999999995</c:v>
              </c:pt>
              <c:pt idx="1321">
                <c:v>-368.41309999999999</c:v>
              </c:pt>
              <c:pt idx="1322">
                <c:v>-368.45619999999997</c:v>
              </c:pt>
              <c:pt idx="1323">
                <c:v>-368.4991</c:v>
              </c:pt>
              <c:pt idx="1324">
                <c:v>-368.5421</c:v>
              </c:pt>
              <c:pt idx="1325">
                <c:v>-368.584</c:v>
              </c:pt>
              <c:pt idx="1326">
                <c:v>-368.62700000000001</c:v>
              </c:pt>
              <c:pt idx="1327">
                <c:v>-368.66890000000001</c:v>
              </c:pt>
              <c:pt idx="1328">
                <c:v>-368.71180000000004</c:v>
              </c:pt>
              <c:pt idx="1329">
                <c:v>-368.75479999999999</c:v>
              </c:pt>
              <c:pt idx="1330">
                <c:v>-368.79679999999996</c:v>
              </c:pt>
              <c:pt idx="1331">
                <c:v>-368.83980000000003</c:v>
              </c:pt>
              <c:pt idx="1332">
                <c:v>-368.8827</c:v>
              </c:pt>
              <c:pt idx="1333">
                <c:v>-368.92570000000001</c:v>
              </c:pt>
              <c:pt idx="1334">
                <c:v>-368.96859999999998</c:v>
              </c:pt>
              <c:pt idx="1335">
                <c:v>-369.01049999999998</c:v>
              </c:pt>
              <c:pt idx="1336">
                <c:v>-369.05250000000001</c:v>
              </c:pt>
              <c:pt idx="1337">
                <c:v>-369.09539999999998</c:v>
              </c:pt>
              <c:pt idx="1338">
                <c:v>-369.13840000000005</c:v>
              </c:pt>
              <c:pt idx="1339">
                <c:v>-369.1814</c:v>
              </c:pt>
              <c:pt idx="1340">
                <c:v>-369.22430000000003</c:v>
              </c:pt>
              <c:pt idx="1341">
                <c:v>-369.26729999999998</c:v>
              </c:pt>
              <c:pt idx="1342">
                <c:v>-369.30919999999998</c:v>
              </c:pt>
              <c:pt idx="1343">
                <c:v>-369.35110000000003</c:v>
              </c:pt>
              <c:pt idx="1344">
                <c:v>-369.39409999999998</c:v>
              </c:pt>
              <c:pt idx="1345">
                <c:v>-369.43700000000001</c:v>
              </c:pt>
              <c:pt idx="1346">
                <c:v>-369.47989999999999</c:v>
              </c:pt>
              <c:pt idx="1347">
                <c:v>-369.52289999999999</c:v>
              </c:pt>
              <c:pt idx="1348">
                <c:v>-369.56479999999999</c:v>
              </c:pt>
              <c:pt idx="1349">
                <c:v>-369.6078</c:v>
              </c:pt>
              <c:pt idx="1350">
                <c:v>-369.6508</c:v>
              </c:pt>
              <c:pt idx="1351">
                <c:v>-369.6927</c:v>
              </c:pt>
              <c:pt idx="1352">
                <c:v>-369.73559999999998</c:v>
              </c:pt>
              <c:pt idx="1353">
                <c:v>-369.77760000000001</c:v>
              </c:pt>
              <c:pt idx="1354">
                <c:v>-369.82049999999998</c:v>
              </c:pt>
              <c:pt idx="1355">
                <c:v>-369.86340000000001</c:v>
              </c:pt>
              <c:pt idx="1356">
                <c:v>-369.90629999999999</c:v>
              </c:pt>
              <c:pt idx="1357">
                <c:v>-369.94929999999999</c:v>
              </c:pt>
              <c:pt idx="1358">
                <c:v>-369.99219999999997</c:v>
              </c:pt>
              <c:pt idx="1359">
                <c:v>-370.03309999999999</c:v>
              </c:pt>
              <c:pt idx="1360">
                <c:v>-370.0761</c:v>
              </c:pt>
              <c:pt idx="1361">
                <c:v>-370.1191</c:v>
              </c:pt>
              <c:pt idx="1362">
                <c:v>-370.16200000000003</c:v>
              </c:pt>
              <c:pt idx="1363">
                <c:v>-370.20490000000001</c:v>
              </c:pt>
              <c:pt idx="1364">
                <c:v>-370.24680000000001</c:v>
              </c:pt>
              <c:pt idx="1365">
                <c:v>-370.28970000000004</c:v>
              </c:pt>
              <c:pt idx="1366">
                <c:v>-370.33269999999999</c:v>
              </c:pt>
              <c:pt idx="1367">
                <c:v>-370.37460000000004</c:v>
              </c:pt>
              <c:pt idx="1368">
                <c:v>-370.41749999999996</c:v>
              </c:pt>
              <c:pt idx="1369">
                <c:v>-370.46039999999999</c:v>
              </c:pt>
              <c:pt idx="1370">
                <c:v>-370.50230000000005</c:v>
              </c:pt>
              <c:pt idx="1371">
                <c:v>-370.54520000000002</c:v>
              </c:pt>
              <c:pt idx="1372">
                <c:v>-370.58820000000003</c:v>
              </c:pt>
              <c:pt idx="1373">
                <c:v>-370.63119999999998</c:v>
              </c:pt>
              <c:pt idx="1374">
                <c:v>-370.67410000000001</c:v>
              </c:pt>
              <c:pt idx="1375">
                <c:v>-370.71500000000003</c:v>
              </c:pt>
              <c:pt idx="1376">
                <c:v>-370.75790000000006</c:v>
              </c:pt>
              <c:pt idx="1377">
                <c:v>-370.80080000000004</c:v>
              </c:pt>
              <c:pt idx="1378">
                <c:v>-370.84370000000001</c:v>
              </c:pt>
              <c:pt idx="1379">
                <c:v>-370.88659999999999</c:v>
              </c:pt>
              <c:pt idx="1380">
                <c:v>-370.92860000000002</c:v>
              </c:pt>
              <c:pt idx="1381">
                <c:v>-370.97149999999999</c:v>
              </c:pt>
              <c:pt idx="1382">
                <c:v>-371.01440000000002</c:v>
              </c:pt>
              <c:pt idx="1383">
                <c:v>-371.05630000000008</c:v>
              </c:pt>
              <c:pt idx="1384">
                <c:v>-371.0992</c:v>
              </c:pt>
              <c:pt idx="1385">
                <c:v>-371.14209999999997</c:v>
              </c:pt>
              <c:pt idx="1386">
                <c:v>-371.18399999999997</c:v>
              </c:pt>
              <c:pt idx="1387">
                <c:v>-371.2269</c:v>
              </c:pt>
              <c:pt idx="1388">
                <c:v>-371.26980000000003</c:v>
              </c:pt>
              <c:pt idx="1389">
                <c:v>-371.31280000000004</c:v>
              </c:pt>
              <c:pt idx="1390">
                <c:v>-371.35470000000009</c:v>
              </c:pt>
              <c:pt idx="1391">
                <c:v>-371.39660000000003</c:v>
              </c:pt>
              <c:pt idx="1392">
                <c:v>-371.43950000000001</c:v>
              </c:pt>
              <c:pt idx="1393">
                <c:v>-371.48239999999998</c:v>
              </c:pt>
              <c:pt idx="1394">
                <c:v>-371.52530000000002</c:v>
              </c:pt>
              <c:pt idx="1395">
                <c:v>-371.56820000000005</c:v>
              </c:pt>
              <c:pt idx="1396">
                <c:v>-371.61009999999999</c:v>
              </c:pt>
              <c:pt idx="1397">
                <c:v>-371.65299999999996</c:v>
              </c:pt>
              <c:pt idx="1398">
                <c:v>-371.69489999999996</c:v>
              </c:pt>
              <c:pt idx="1399">
                <c:v>-371.73779999999999</c:v>
              </c:pt>
              <c:pt idx="1400">
                <c:v>-371.78070000000002</c:v>
              </c:pt>
              <c:pt idx="1401">
                <c:v>-371.82259999999997</c:v>
              </c:pt>
              <c:pt idx="1402">
                <c:v>-371.8655</c:v>
              </c:pt>
              <c:pt idx="1403">
                <c:v>-371.90840000000003</c:v>
              </c:pt>
              <c:pt idx="1404">
                <c:v>-371.9513</c:v>
              </c:pt>
              <c:pt idx="1405">
                <c:v>-371.9932</c:v>
              </c:pt>
              <c:pt idx="1406">
                <c:v>-372.03510000000006</c:v>
              </c:pt>
              <c:pt idx="1407">
                <c:v>-372.07800000000003</c:v>
              </c:pt>
              <c:pt idx="1408">
                <c:v>-372.12080000000003</c:v>
              </c:pt>
              <c:pt idx="1409">
                <c:v>-372.16370000000001</c:v>
              </c:pt>
              <c:pt idx="1410">
                <c:v>-372.20659999999998</c:v>
              </c:pt>
              <c:pt idx="1411">
                <c:v>-372.24850000000004</c:v>
              </c:pt>
              <c:pt idx="1412">
                <c:v>-372.29140000000001</c:v>
              </c:pt>
              <c:pt idx="1413">
                <c:v>-372.33330000000001</c:v>
              </c:pt>
              <c:pt idx="1414">
                <c:v>-372.37619999999998</c:v>
              </c:pt>
              <c:pt idx="1415">
                <c:v>-372.41909999999996</c:v>
              </c:pt>
              <c:pt idx="1416">
                <c:v>-372.46090000000004</c:v>
              </c:pt>
              <c:pt idx="1417">
                <c:v>-372.50380000000001</c:v>
              </c:pt>
              <c:pt idx="1418">
                <c:v>-372.54669999999999</c:v>
              </c:pt>
              <c:pt idx="1419">
                <c:v>-372.58969999999999</c:v>
              </c:pt>
              <c:pt idx="1420">
                <c:v>-372.63159999999993</c:v>
              </c:pt>
              <c:pt idx="1421">
                <c:v>-372.67349999999999</c:v>
              </c:pt>
              <c:pt idx="1422">
                <c:v>-372.71629999999999</c:v>
              </c:pt>
              <c:pt idx="1423">
                <c:v>-372.75919999999996</c:v>
              </c:pt>
              <c:pt idx="1424">
                <c:v>-372.80209999999994</c:v>
              </c:pt>
              <c:pt idx="1425">
                <c:v>-372.84399999999999</c:v>
              </c:pt>
              <c:pt idx="1426">
                <c:v>-372.87850000000003</c:v>
              </c:pt>
              <c:pt idx="1427">
                <c:v>-372.9117</c:v>
              </c:pt>
              <c:pt idx="1428">
                <c:v>-372.94490000000002</c:v>
              </c:pt>
              <c:pt idx="1429">
                <c:v>-372.976</c:v>
              </c:pt>
              <c:pt idx="1430">
                <c:v>-373.00909999999999</c:v>
              </c:pt>
              <c:pt idx="1431">
                <c:v>-373.0412</c:v>
              </c:pt>
              <c:pt idx="1432">
                <c:v>-373.07339999999999</c:v>
              </c:pt>
              <c:pt idx="1433">
                <c:v>-373.10659999999996</c:v>
              </c:pt>
              <c:pt idx="1434">
                <c:v>-373.1386</c:v>
              </c:pt>
              <c:pt idx="1435">
                <c:v>-373.17079999999999</c:v>
              </c:pt>
              <c:pt idx="1436">
                <c:v>-373.20389999999998</c:v>
              </c:pt>
              <c:pt idx="1437">
                <c:v>-373.23500000000001</c:v>
              </c:pt>
              <c:pt idx="1438">
                <c:v>-373.2681</c:v>
              </c:pt>
              <c:pt idx="1439">
                <c:v>-373.30029999999999</c:v>
              </c:pt>
              <c:pt idx="1440">
                <c:v>-373.33229999999998</c:v>
              </c:pt>
              <c:pt idx="1441">
                <c:v>-373.3655</c:v>
              </c:pt>
              <c:pt idx="1442">
                <c:v>-373.39769999999999</c:v>
              </c:pt>
              <c:pt idx="1443">
                <c:v>-373.42970000000003</c:v>
              </c:pt>
              <c:pt idx="1444">
                <c:v>-373.46189999999996</c:v>
              </c:pt>
              <c:pt idx="1445">
                <c:v>-373.495</c:v>
              </c:pt>
              <c:pt idx="1446">
                <c:v>-373.52710000000002</c:v>
              </c:pt>
              <c:pt idx="1447">
                <c:v>-373.55920000000003</c:v>
              </c:pt>
              <c:pt idx="1448">
                <c:v>-373.59230000000002</c:v>
              </c:pt>
              <c:pt idx="1449">
                <c:v>-373.6234</c:v>
              </c:pt>
              <c:pt idx="1450">
                <c:v>-373.65660000000003</c:v>
              </c:pt>
              <c:pt idx="1451">
                <c:v>-373.68860000000001</c:v>
              </c:pt>
              <c:pt idx="1452">
                <c:v>-373.7208</c:v>
              </c:pt>
              <c:pt idx="1453">
                <c:v>-373.75389999999999</c:v>
              </c:pt>
              <c:pt idx="1454">
                <c:v>-373.78499999999997</c:v>
              </c:pt>
              <c:pt idx="1455">
                <c:v>-373.81819999999999</c:v>
              </c:pt>
              <c:pt idx="1456">
                <c:v>-373.85120000000001</c:v>
              </c:pt>
              <c:pt idx="1457">
                <c:v>-373.88239999999996</c:v>
              </c:pt>
              <c:pt idx="1458">
                <c:v>-373.91539999999998</c:v>
              </c:pt>
              <c:pt idx="1459">
                <c:v>-373.94759999999997</c:v>
              </c:pt>
              <c:pt idx="1460">
                <c:v>-373.9796</c:v>
              </c:pt>
              <c:pt idx="1461">
                <c:v>-374.01279999999997</c:v>
              </c:pt>
              <c:pt idx="1462">
                <c:v>-374.04479999999995</c:v>
              </c:pt>
              <c:pt idx="1463">
                <c:v>-374.077</c:v>
              </c:pt>
              <c:pt idx="1464">
                <c:v>-374.10910000000001</c:v>
              </c:pt>
              <c:pt idx="1465">
                <c:v>-374.14120000000003</c:v>
              </c:pt>
              <c:pt idx="1466">
                <c:v>-374.17430000000002</c:v>
              </c:pt>
              <c:pt idx="1467">
                <c:v>-374.20639999999997</c:v>
              </c:pt>
              <c:pt idx="1468">
                <c:v>-374.23849999999999</c:v>
              </c:pt>
              <c:pt idx="1469">
                <c:v>-374.27059999999994</c:v>
              </c:pt>
              <c:pt idx="1470">
                <c:v>-374.30370000000005</c:v>
              </c:pt>
              <c:pt idx="1471">
                <c:v>-374.33580000000001</c:v>
              </c:pt>
              <c:pt idx="1472">
                <c:v>-374.36779999999999</c:v>
              </c:pt>
              <c:pt idx="1473">
                <c:v>-374.40100000000007</c:v>
              </c:pt>
              <c:pt idx="1474">
                <c:v>-374.43200000000002</c:v>
              </c:pt>
              <c:pt idx="1475">
                <c:v>-374.46520000000004</c:v>
              </c:pt>
              <c:pt idx="1476">
                <c:v>-374.49720000000002</c:v>
              </c:pt>
              <c:pt idx="1477">
                <c:v>-374.52940000000001</c:v>
              </c:pt>
              <c:pt idx="1478">
                <c:v>-374.56240000000003</c:v>
              </c:pt>
              <c:pt idx="1479">
                <c:v>-374.59359999999998</c:v>
              </c:pt>
              <c:pt idx="1480">
                <c:v>-374.6266</c:v>
              </c:pt>
              <c:pt idx="1481">
                <c:v>-374.65969999999999</c:v>
              </c:pt>
              <c:pt idx="1482">
                <c:v>-374.69079999999997</c:v>
              </c:pt>
              <c:pt idx="1483">
                <c:v>-374.72390000000001</c:v>
              </c:pt>
              <c:pt idx="1484">
                <c:v>-374.75599999999997</c:v>
              </c:pt>
              <c:pt idx="1485">
                <c:v>-374.78809999999999</c:v>
              </c:pt>
              <c:pt idx="1486">
                <c:v>-374.8211</c:v>
              </c:pt>
              <c:pt idx="1487">
                <c:v>-374.85230000000001</c:v>
              </c:pt>
              <c:pt idx="1488">
                <c:v>-374.88530000000003</c:v>
              </c:pt>
              <c:pt idx="1489">
                <c:v>-374.91750000000002</c:v>
              </c:pt>
              <c:pt idx="1490">
                <c:v>-374.94949999999994</c:v>
              </c:pt>
              <c:pt idx="1491">
                <c:v>-374.98160000000007</c:v>
              </c:pt>
              <c:pt idx="1492">
                <c:v>-375.0147</c:v>
              </c:pt>
              <c:pt idx="1493">
                <c:v>-375.04679999999996</c:v>
              </c:pt>
              <c:pt idx="1494">
                <c:v>-375.0788</c:v>
              </c:pt>
              <c:pt idx="1495">
                <c:v>-375.11099999999999</c:v>
              </c:pt>
              <c:pt idx="1496">
                <c:v>-375.14300000000003</c:v>
              </c:pt>
              <c:pt idx="1497">
                <c:v>-375.17600000000004</c:v>
              </c:pt>
              <c:pt idx="1498">
                <c:v>-375.20819999999998</c:v>
              </c:pt>
              <c:pt idx="1499">
                <c:v>-375.24020000000002</c:v>
              </c:pt>
              <c:pt idx="1500">
                <c:v>-375.27330000000006</c:v>
              </c:pt>
              <c:pt idx="1501">
                <c:v>-375.30430000000001</c:v>
              </c:pt>
              <c:pt idx="1502">
                <c:v>-375.33750000000003</c:v>
              </c:pt>
              <c:pt idx="1503">
                <c:v>-375.36949999999996</c:v>
              </c:pt>
              <c:pt idx="1504">
                <c:v>-375.40160000000003</c:v>
              </c:pt>
              <c:pt idx="1505">
                <c:v>-375.43470000000002</c:v>
              </c:pt>
              <c:pt idx="1506">
                <c:v>-375.46579999999994</c:v>
              </c:pt>
              <c:pt idx="1507">
                <c:v>-375.49879999999996</c:v>
              </c:pt>
              <c:pt idx="1508">
                <c:v>-375.5308</c:v>
              </c:pt>
              <c:pt idx="1509">
                <c:v>-375.56299999999999</c:v>
              </c:pt>
              <c:pt idx="1510">
                <c:v>-375.596</c:v>
              </c:pt>
              <c:pt idx="1511">
                <c:v>-375.62710000000004</c:v>
              </c:pt>
              <c:pt idx="1512">
                <c:v>-375.66009999999994</c:v>
              </c:pt>
              <c:pt idx="1513">
                <c:v>-375.69229999999999</c:v>
              </c:pt>
              <c:pt idx="1514">
                <c:v>-375.72429999999997</c:v>
              </c:pt>
              <c:pt idx="1515">
                <c:v>-375.75739999999996</c:v>
              </c:pt>
              <c:pt idx="1516">
                <c:v>-375.78939999999994</c:v>
              </c:pt>
              <c:pt idx="1517">
                <c:v>-375.82140000000004</c:v>
              </c:pt>
              <c:pt idx="1518">
                <c:v>-375.85360000000003</c:v>
              </c:pt>
              <c:pt idx="1519">
                <c:v>-375.88560000000001</c:v>
              </c:pt>
              <c:pt idx="1520">
                <c:v>-375.91769999999997</c:v>
              </c:pt>
              <c:pt idx="1521">
                <c:v>-375.95069999999998</c:v>
              </c:pt>
              <c:pt idx="1522">
                <c:v>-375.9828</c:v>
              </c:pt>
              <c:pt idx="1523">
                <c:v>-376.01480000000004</c:v>
              </c:pt>
              <c:pt idx="1524">
                <c:v>-376.04690000000005</c:v>
              </c:pt>
              <c:pt idx="1525">
                <c:v>-376.07900000000001</c:v>
              </c:pt>
              <c:pt idx="1526">
                <c:v>-376.11200000000002</c:v>
              </c:pt>
              <c:pt idx="1527">
                <c:v>-376.14409999999998</c:v>
              </c:pt>
              <c:pt idx="1528">
                <c:v>-376.17610000000002</c:v>
              </c:pt>
              <c:pt idx="1529">
                <c:v>-376.20910000000003</c:v>
              </c:pt>
              <c:pt idx="1530">
                <c:v>-376.24019999999996</c:v>
              </c:pt>
              <c:pt idx="1531">
                <c:v>-376.27319999999997</c:v>
              </c:pt>
              <c:pt idx="1532">
                <c:v>-376.30439999999999</c:v>
              </c:pt>
              <c:pt idx="1533">
                <c:v>-376.33739999999995</c:v>
              </c:pt>
              <c:pt idx="1534">
                <c:v>-376.37040000000002</c:v>
              </c:pt>
              <c:pt idx="1535">
                <c:v>-376.40149999999994</c:v>
              </c:pt>
              <c:pt idx="1536">
                <c:v>-376.43449999999996</c:v>
              </c:pt>
              <c:pt idx="1537">
                <c:v>-376.46559999999999</c:v>
              </c:pt>
              <c:pt idx="1538">
                <c:v>-376.49860000000001</c:v>
              </c:pt>
              <c:pt idx="1539">
                <c:v>-376.53060000000005</c:v>
              </c:pt>
              <c:pt idx="1540">
                <c:v>-376.56270000000001</c:v>
              </c:pt>
              <c:pt idx="1541">
                <c:v>-376.59570000000002</c:v>
              </c:pt>
              <c:pt idx="1542">
                <c:v>-376.6268</c:v>
              </c:pt>
              <c:pt idx="1543">
                <c:v>-376.65980000000002</c:v>
              </c:pt>
              <c:pt idx="1544">
                <c:v>-376.6918</c:v>
              </c:pt>
              <c:pt idx="1545">
                <c:v>-376.72390000000001</c:v>
              </c:pt>
              <c:pt idx="1546">
                <c:v>-376.7559</c:v>
              </c:pt>
              <c:pt idx="1547">
                <c:v>-376.78900000000004</c:v>
              </c:pt>
              <c:pt idx="1548">
                <c:v>-376.82100000000003</c:v>
              </c:pt>
              <c:pt idx="1549">
                <c:v>-376.85300000000001</c:v>
              </c:pt>
              <c:pt idx="1550">
                <c:v>-376.88510000000008</c:v>
              </c:pt>
              <c:pt idx="1551">
                <c:v>-376.9171</c:v>
              </c:pt>
              <c:pt idx="1552">
                <c:v>-376.95010000000002</c:v>
              </c:pt>
              <c:pt idx="1553">
                <c:v>-376.98119999999994</c:v>
              </c:pt>
              <c:pt idx="1554">
                <c:v>-377.01419999999996</c:v>
              </c:pt>
              <c:pt idx="1555">
                <c:v>-377.04630000000003</c:v>
              </c:pt>
              <c:pt idx="1556">
                <c:v>-377.07830000000001</c:v>
              </c:pt>
              <c:pt idx="1557">
                <c:v>-377.11129999999997</c:v>
              </c:pt>
              <c:pt idx="1558">
                <c:v>-377.14240000000001</c:v>
              </c:pt>
              <c:pt idx="1559">
                <c:v>-377.17539999999997</c:v>
              </c:pt>
              <c:pt idx="1560">
                <c:v>-377.20640000000003</c:v>
              </c:pt>
              <c:pt idx="1561">
                <c:v>-377.23950000000002</c:v>
              </c:pt>
              <c:pt idx="1562">
                <c:v>-377.27250000000004</c:v>
              </c:pt>
              <c:pt idx="1563">
                <c:v>-377.30349999999999</c:v>
              </c:pt>
              <c:pt idx="1564">
                <c:v>-377.33660000000003</c:v>
              </c:pt>
              <c:pt idx="1565">
                <c:v>-377.36750000000001</c:v>
              </c:pt>
              <c:pt idx="1566">
                <c:v>-377.40059999999994</c:v>
              </c:pt>
              <c:pt idx="1567">
                <c:v>-377.43259999999998</c:v>
              </c:pt>
              <c:pt idx="1568">
                <c:v>-377.46459999999996</c:v>
              </c:pt>
              <c:pt idx="1569">
                <c:v>-377.49669999999998</c:v>
              </c:pt>
              <c:pt idx="1570">
                <c:v>-377.52869999999996</c:v>
              </c:pt>
              <c:pt idx="1571">
                <c:v>-377.56169999999997</c:v>
              </c:pt>
              <c:pt idx="1572">
                <c:v>-377.59379999999999</c:v>
              </c:pt>
              <c:pt idx="1573">
                <c:v>-377.62569999999999</c:v>
              </c:pt>
              <c:pt idx="1574">
                <c:v>-377.65769999999998</c:v>
              </c:pt>
              <c:pt idx="1575">
                <c:v>-377.68979999999999</c:v>
              </c:pt>
              <c:pt idx="1576">
                <c:v>-377.72179999999997</c:v>
              </c:pt>
              <c:pt idx="1577">
                <c:v>-377.75479999999993</c:v>
              </c:pt>
              <c:pt idx="1578">
                <c:v>-377.7869</c:v>
              </c:pt>
              <c:pt idx="1579">
                <c:v>-377.81880000000001</c:v>
              </c:pt>
              <c:pt idx="1580">
                <c:v>-377.85079999999999</c:v>
              </c:pt>
              <c:pt idx="1581">
                <c:v>-377.88290000000001</c:v>
              </c:pt>
              <c:pt idx="1582">
                <c:v>-377.91590000000002</c:v>
              </c:pt>
              <c:pt idx="1583">
                <c:v>-377.94689999999997</c:v>
              </c:pt>
              <c:pt idx="1584">
                <c:v>-377.97989999999999</c:v>
              </c:pt>
              <c:pt idx="1585">
                <c:v>-378.01089999999999</c:v>
              </c:pt>
              <c:pt idx="1586">
                <c:v>-378.04389999999995</c:v>
              </c:pt>
              <c:pt idx="1587">
                <c:v>-378.077</c:v>
              </c:pt>
              <c:pt idx="1588">
                <c:v>-378.10789999999997</c:v>
              </c:pt>
              <c:pt idx="1589">
                <c:v>-378.14089999999999</c:v>
              </c:pt>
              <c:pt idx="1590">
                <c:v>-378.17190000000005</c:v>
              </c:pt>
              <c:pt idx="1591">
                <c:v>-378.20500000000004</c:v>
              </c:pt>
              <c:pt idx="1592">
                <c:v>-378.23590000000002</c:v>
              </c:pt>
              <c:pt idx="1593">
                <c:v>-378.26889999999997</c:v>
              </c:pt>
              <c:pt idx="1594">
                <c:v>-378.30100000000004</c:v>
              </c:pt>
              <c:pt idx="1595">
                <c:v>-378.3329</c:v>
              </c:pt>
              <c:pt idx="1596">
                <c:v>-378.36590000000001</c:v>
              </c:pt>
              <c:pt idx="1597">
                <c:v>-378.39699999999999</c:v>
              </c:pt>
              <c:pt idx="1598">
                <c:v>-378.43</c:v>
              </c:pt>
              <c:pt idx="1599">
                <c:v>-378.46190000000001</c:v>
              </c:pt>
              <c:pt idx="1600">
                <c:v>-378.49399999999997</c:v>
              </c:pt>
              <c:pt idx="1601">
                <c:v>-378.52600000000001</c:v>
              </c:pt>
              <c:pt idx="1602">
                <c:v>-378.55790000000002</c:v>
              </c:pt>
              <c:pt idx="1603">
                <c:v>-378.5899</c:v>
              </c:pt>
              <c:pt idx="1604">
                <c:v>-378.62299999999999</c:v>
              </c:pt>
              <c:pt idx="1605">
                <c:v>-378.6549</c:v>
              </c:pt>
              <c:pt idx="1606">
                <c:v>-378.68689999999992</c:v>
              </c:pt>
              <c:pt idx="1607">
                <c:v>-378.71899999999999</c:v>
              </c:pt>
              <c:pt idx="1608">
                <c:v>-378.7509</c:v>
              </c:pt>
              <c:pt idx="1609">
                <c:v>-378.78289999999998</c:v>
              </c:pt>
              <c:pt idx="1610">
                <c:v>-378.81480000000005</c:v>
              </c:pt>
              <c:pt idx="1611">
                <c:v>-378.84790000000004</c:v>
              </c:pt>
              <c:pt idx="1612">
                <c:v>-378.87889999999999</c:v>
              </c:pt>
              <c:pt idx="1613">
                <c:v>-378.91179999999997</c:v>
              </c:pt>
              <c:pt idx="1614">
                <c:v>-378.94380000000001</c:v>
              </c:pt>
              <c:pt idx="1615">
                <c:v>-378.97579999999999</c:v>
              </c:pt>
              <c:pt idx="1616">
                <c:v>-379.00880000000001</c:v>
              </c:pt>
              <c:pt idx="1617">
                <c:v>-379.03980000000001</c:v>
              </c:pt>
              <c:pt idx="1618">
                <c:v>-379.07280000000003</c:v>
              </c:pt>
              <c:pt idx="1619">
                <c:v>-379.10380000000004</c:v>
              </c:pt>
              <c:pt idx="1620">
                <c:v>-379.13679999999999</c:v>
              </c:pt>
              <c:pt idx="1621">
                <c:v>-379.16770000000002</c:v>
              </c:pt>
              <c:pt idx="1622">
                <c:v>-379.20080000000002</c:v>
              </c:pt>
              <c:pt idx="1623">
                <c:v>-379.23270000000002</c:v>
              </c:pt>
              <c:pt idx="1624">
                <c:v>-379.2647</c:v>
              </c:pt>
              <c:pt idx="1625">
                <c:v>-379.29660000000001</c:v>
              </c:pt>
              <c:pt idx="1626">
                <c:v>-379.32869999999997</c:v>
              </c:pt>
              <c:pt idx="1627">
                <c:v>-379.36169999999998</c:v>
              </c:pt>
              <c:pt idx="1628">
                <c:v>-379.39260000000002</c:v>
              </c:pt>
              <c:pt idx="1629">
                <c:v>-379.42560000000003</c:v>
              </c:pt>
              <c:pt idx="1630">
                <c:v>-379.45760000000001</c:v>
              </c:pt>
              <c:pt idx="1631">
                <c:v>-379.4896</c:v>
              </c:pt>
              <c:pt idx="1632">
                <c:v>-379.5215</c:v>
              </c:pt>
              <c:pt idx="1633">
                <c:v>-379.55350000000004</c:v>
              </c:pt>
              <c:pt idx="1634">
                <c:v>-379.58540000000005</c:v>
              </c:pt>
              <c:pt idx="1635">
                <c:v>-379.61750000000001</c:v>
              </c:pt>
              <c:pt idx="1636">
                <c:v>-379.64940000000001</c:v>
              </c:pt>
              <c:pt idx="1637">
                <c:v>-379.68240000000003</c:v>
              </c:pt>
              <c:pt idx="1638">
                <c:v>-379.7133</c:v>
              </c:pt>
              <c:pt idx="1639">
                <c:v>-379.74639999999999</c:v>
              </c:pt>
              <c:pt idx="1640">
                <c:v>-379.7783</c:v>
              </c:pt>
              <c:pt idx="1641">
                <c:v>-379.81029999999998</c:v>
              </c:pt>
              <c:pt idx="1642">
                <c:v>-379.84220000000005</c:v>
              </c:pt>
              <c:pt idx="1643">
                <c:v>-379.87419999999997</c:v>
              </c:pt>
              <c:pt idx="1644">
                <c:v>-379.90719999999999</c:v>
              </c:pt>
              <c:pt idx="1645">
                <c:v>-379.93809999999996</c:v>
              </c:pt>
              <c:pt idx="1646">
                <c:v>-379.97109999999998</c:v>
              </c:pt>
              <c:pt idx="1647">
                <c:v>-380.00200000000001</c:v>
              </c:pt>
              <c:pt idx="1648">
                <c:v>-380.03509999999994</c:v>
              </c:pt>
              <c:pt idx="1649">
                <c:v>-380.06599999999997</c:v>
              </c:pt>
              <c:pt idx="1650">
                <c:v>-380.09899999999999</c:v>
              </c:pt>
              <c:pt idx="1651">
                <c:v>-380.12990000000002</c:v>
              </c:pt>
              <c:pt idx="1652">
                <c:v>-380.1628</c:v>
              </c:pt>
              <c:pt idx="1653">
                <c:v>-380.19490000000002</c:v>
              </c:pt>
              <c:pt idx="1654">
                <c:v>-380.22679999999997</c:v>
              </c:pt>
              <c:pt idx="1655">
                <c:v>-380.25880000000001</c:v>
              </c:pt>
              <c:pt idx="1656">
                <c:v>-380.279</c:v>
              </c:pt>
              <c:pt idx="1657">
                <c:v>-380.27160000000003</c:v>
              </c:pt>
              <c:pt idx="1658">
                <c:v>-380.26519999999999</c:v>
              </c:pt>
              <c:pt idx="1659">
                <c:v>-380.25779999999997</c:v>
              </c:pt>
              <c:pt idx="1660">
                <c:v>-380.25040000000001</c:v>
              </c:pt>
              <c:pt idx="1661">
                <c:v>-380.24299999999999</c:v>
              </c:pt>
              <c:pt idx="1662">
                <c:v>-380.23560000000003</c:v>
              </c:pt>
              <c:pt idx="1663">
                <c:v>-380.22820000000002</c:v>
              </c:pt>
              <c:pt idx="1664">
                <c:v>-380.22079999999994</c:v>
              </c:pt>
              <c:pt idx="1665">
                <c:v>-380.21340000000004</c:v>
              </c:pt>
              <c:pt idx="1666">
                <c:v>-380.20590000000004</c:v>
              </c:pt>
              <c:pt idx="1667">
                <c:v>-380.19850000000002</c:v>
              </c:pt>
              <c:pt idx="1668">
                <c:v>-380.19110000000001</c:v>
              </c:pt>
              <c:pt idx="1669">
                <c:v>-380.18359999999996</c:v>
              </c:pt>
              <c:pt idx="1670">
                <c:v>-380.17619999999999</c:v>
              </c:pt>
              <c:pt idx="1671">
                <c:v>-380.16880000000003</c:v>
              </c:pt>
              <c:pt idx="1672">
                <c:v>-380.16129999999998</c:v>
              </c:pt>
              <c:pt idx="1673">
                <c:v>-380.15389999999996</c:v>
              </c:pt>
              <c:pt idx="1674">
                <c:v>-380.14650000000006</c:v>
              </c:pt>
              <c:pt idx="1675">
                <c:v>-380.14009999999996</c:v>
              </c:pt>
              <c:pt idx="1676">
                <c:v>-380.1327</c:v>
              </c:pt>
              <c:pt idx="1677">
                <c:v>-380.12430000000001</c:v>
              </c:pt>
              <c:pt idx="1678">
                <c:v>-380.11680000000001</c:v>
              </c:pt>
              <c:pt idx="1679">
                <c:v>-380.10939999999999</c:v>
              </c:pt>
              <c:pt idx="1680">
                <c:v>-380.1019</c:v>
              </c:pt>
              <c:pt idx="1681">
                <c:v>-380.09450000000004</c:v>
              </c:pt>
              <c:pt idx="1682">
                <c:v>-380.08710000000002</c:v>
              </c:pt>
              <c:pt idx="1683">
                <c:v>-380.0806</c:v>
              </c:pt>
              <c:pt idx="1684">
                <c:v>-380.07320000000004</c:v>
              </c:pt>
              <c:pt idx="1685">
                <c:v>-380.03589999999997</c:v>
              </c:pt>
              <c:pt idx="1686">
                <c:v>-379.99959999999999</c:v>
              </c:pt>
              <c:pt idx="1687">
                <c:v>-379.9624</c:v>
              </c:pt>
              <c:pt idx="1688">
                <c:v>-379.92599999999999</c:v>
              </c:pt>
              <c:pt idx="1689">
                <c:v>-379.8897</c:v>
              </c:pt>
              <c:pt idx="1690">
                <c:v>-379.85339999999997</c:v>
              </c:pt>
              <c:pt idx="1691">
                <c:v>-379.81610000000001</c:v>
              </c:pt>
              <c:pt idx="1692">
                <c:v>-379.77969999999999</c:v>
              </c:pt>
              <c:pt idx="1693">
                <c:v>-379.74239999999998</c:v>
              </c:pt>
              <c:pt idx="1694">
                <c:v>-379.70709999999997</c:v>
              </c:pt>
              <c:pt idx="1695">
                <c:v>-379.66969999999998</c:v>
              </c:pt>
              <c:pt idx="1696">
                <c:v>-379.63250000000005</c:v>
              </c:pt>
              <c:pt idx="1697">
                <c:v>-379.59609999999998</c:v>
              </c:pt>
              <c:pt idx="1698">
                <c:v>-379.55880000000002</c:v>
              </c:pt>
              <c:pt idx="1699">
                <c:v>-379.5224</c:v>
              </c:pt>
              <c:pt idx="1700">
                <c:v>-379.48610000000008</c:v>
              </c:pt>
              <c:pt idx="1701">
                <c:v>-379.44979999999998</c:v>
              </c:pt>
              <c:pt idx="1702">
                <c:v>-379.41239999999999</c:v>
              </c:pt>
              <c:pt idx="1703">
                <c:v>-379.37609999999995</c:v>
              </c:pt>
              <c:pt idx="1704">
                <c:v>-379.33870000000002</c:v>
              </c:pt>
              <c:pt idx="1705">
                <c:v>-379.30330000000004</c:v>
              </c:pt>
              <c:pt idx="1706">
                <c:v>-379.26609999999999</c:v>
              </c:pt>
              <c:pt idx="1707">
                <c:v>-379.22970000000004</c:v>
              </c:pt>
              <c:pt idx="1708">
                <c:v>-379.19230000000005</c:v>
              </c:pt>
              <c:pt idx="1709">
                <c:v>-379.15599999999995</c:v>
              </c:pt>
              <c:pt idx="1710">
                <c:v>-379.11859999999996</c:v>
              </c:pt>
              <c:pt idx="1711">
                <c:v>-379.08320000000003</c:v>
              </c:pt>
              <c:pt idx="1712">
                <c:v>-379.00830000000002</c:v>
              </c:pt>
              <c:pt idx="1713">
                <c:v>-378.89179999999999</c:v>
              </c:pt>
              <c:pt idx="1714">
                <c:v>-378.77729999999997</c:v>
              </c:pt>
              <c:pt idx="1715">
                <c:v>-378.66079999999999</c:v>
              </c:pt>
              <c:pt idx="1716">
                <c:v>-378.54629999999997</c:v>
              </c:pt>
              <c:pt idx="1717">
                <c:v>-378.42969999999997</c:v>
              </c:pt>
              <c:pt idx="1718">
                <c:v>-378.31530000000004</c:v>
              </c:pt>
              <c:pt idx="1719">
                <c:v>-378.19870000000003</c:v>
              </c:pt>
              <c:pt idx="1720">
                <c:v>-378.08319999999998</c:v>
              </c:pt>
              <c:pt idx="1721">
                <c:v>-377.96770000000004</c:v>
              </c:pt>
              <c:pt idx="1722">
                <c:v>-377.85120000000001</c:v>
              </c:pt>
              <c:pt idx="1723">
                <c:v>-377.73660000000001</c:v>
              </c:pt>
              <c:pt idx="1724">
                <c:v>-377.62009999999998</c:v>
              </c:pt>
              <c:pt idx="1725">
                <c:v>-377.50559999999996</c:v>
              </c:pt>
              <c:pt idx="1726">
                <c:v>-377.38900000000001</c:v>
              </c:pt>
              <c:pt idx="1727">
                <c:v>-377.27339999999998</c:v>
              </c:pt>
              <c:pt idx="1728">
                <c:v>-377.14109999999999</c:v>
              </c:pt>
              <c:pt idx="1729">
                <c:v>-376.96049999999997</c:v>
              </c:pt>
              <c:pt idx="1730">
                <c:v>-376.7799</c:v>
              </c:pt>
              <c:pt idx="1731">
                <c:v>-376.59840000000003</c:v>
              </c:pt>
              <c:pt idx="1732">
                <c:v>-376.41770000000002</c:v>
              </c:pt>
              <c:pt idx="1733">
                <c:v>-376.23609999999996</c:v>
              </c:pt>
              <c:pt idx="1734">
                <c:v>-376.05550000000005</c:v>
              </c:pt>
              <c:pt idx="1735">
                <c:v>-375.87390000000005</c:v>
              </c:pt>
              <c:pt idx="1736">
                <c:v>-375.69319999999999</c:v>
              </c:pt>
              <c:pt idx="1737">
                <c:v>-375.51159999999999</c:v>
              </c:pt>
              <c:pt idx="1738">
                <c:v>-375.33100000000002</c:v>
              </c:pt>
              <c:pt idx="1739">
                <c:v>-375.14940000000001</c:v>
              </c:pt>
              <c:pt idx="1740">
                <c:v>-374.96870000000001</c:v>
              </c:pt>
              <c:pt idx="1741">
                <c:v>-374.78709999999995</c:v>
              </c:pt>
              <c:pt idx="1742">
                <c:v>-374.60550000000001</c:v>
              </c:pt>
              <c:pt idx="1743">
                <c:v>-374.42489999999998</c:v>
              </c:pt>
              <c:pt idx="1744">
                <c:v>-374.24310000000003</c:v>
              </c:pt>
              <c:pt idx="1745">
                <c:v>-374.06150000000002</c:v>
              </c:pt>
              <c:pt idx="1746">
                <c:v>-373.8809</c:v>
              </c:pt>
              <c:pt idx="1747">
                <c:v>-373.7002</c:v>
              </c:pt>
              <c:pt idx="1748">
                <c:v>-373.51859999999999</c:v>
              </c:pt>
              <c:pt idx="1749">
                <c:v>-373.33690000000001</c:v>
              </c:pt>
              <c:pt idx="1750">
                <c:v>-373.15629999999999</c:v>
              </c:pt>
              <c:pt idx="1751">
                <c:v>-372.97460000000001</c:v>
              </c:pt>
              <c:pt idx="1752">
                <c:v>-372.79290000000003</c:v>
              </c:pt>
              <c:pt idx="1753">
                <c:v>-372.6123</c:v>
              </c:pt>
              <c:pt idx="1754">
                <c:v>-372.42949999999996</c:v>
              </c:pt>
              <c:pt idx="1755">
                <c:v>-372.24889999999999</c:v>
              </c:pt>
              <c:pt idx="1756">
                <c:v>-372.06809999999996</c:v>
              </c:pt>
              <c:pt idx="1757">
                <c:v>-371.88549999999998</c:v>
              </c:pt>
              <c:pt idx="1758">
                <c:v>-371.70479999999998</c:v>
              </c:pt>
              <c:pt idx="1759">
                <c:v>-371.52409999999998</c:v>
              </c:pt>
              <c:pt idx="1760">
                <c:v>-371.34139999999996</c:v>
              </c:pt>
              <c:pt idx="1761">
                <c:v>-371.16079999999999</c:v>
              </c:pt>
              <c:pt idx="1762">
                <c:v>-370.97899999999998</c:v>
              </c:pt>
              <c:pt idx="1763">
                <c:v>-370.79730000000001</c:v>
              </c:pt>
              <c:pt idx="1764">
                <c:v>-370.61660000000001</c:v>
              </c:pt>
              <c:pt idx="1765">
                <c:v>-370.43389999999999</c:v>
              </c:pt>
              <c:pt idx="1766">
                <c:v>-370.25310000000002</c:v>
              </c:pt>
              <c:pt idx="1767">
                <c:v>-370.07249999999999</c:v>
              </c:pt>
              <c:pt idx="1768">
                <c:v>-369.88980000000004</c:v>
              </c:pt>
              <c:pt idx="1769">
                <c:v>-369.70900000000006</c:v>
              </c:pt>
              <c:pt idx="1770">
                <c:v>-369.52629999999999</c:v>
              </c:pt>
              <c:pt idx="1771">
                <c:v>-369.34550000000002</c:v>
              </c:pt>
              <c:pt idx="1772">
                <c:v>-369.1628</c:v>
              </c:pt>
              <c:pt idx="1773">
                <c:v>-368.9821</c:v>
              </c:pt>
              <c:pt idx="1774">
                <c:v>-368.8014</c:v>
              </c:pt>
              <c:pt idx="1775">
                <c:v>-368.61860000000001</c:v>
              </c:pt>
              <c:pt idx="1776">
                <c:v>-368.43790000000001</c:v>
              </c:pt>
              <c:pt idx="1777">
                <c:v>-368.25509999999997</c:v>
              </c:pt>
              <c:pt idx="1778">
                <c:v>-368.07440000000003</c:v>
              </c:pt>
              <c:pt idx="1779">
                <c:v>-367.89159999999998</c:v>
              </c:pt>
              <c:pt idx="1780">
                <c:v>-367.71080000000001</c:v>
              </c:pt>
              <c:pt idx="1781">
                <c:v>-367.52800000000002</c:v>
              </c:pt>
              <c:pt idx="1782">
                <c:v>-367.34730000000002</c:v>
              </c:pt>
              <c:pt idx="1783">
                <c:v>-367.16449999999998</c:v>
              </c:pt>
              <c:pt idx="1784">
                <c:v>-366.98379999999997</c:v>
              </c:pt>
              <c:pt idx="1785">
                <c:v>-366.80200000000002</c:v>
              </c:pt>
              <c:pt idx="1786">
                <c:v>-366.62009999999998</c:v>
              </c:pt>
              <c:pt idx="1787">
                <c:v>-366.4384</c:v>
              </c:pt>
              <c:pt idx="1788">
                <c:v>-366.25659999999999</c:v>
              </c:pt>
              <c:pt idx="1789">
                <c:v>-366.07490000000001</c:v>
              </c:pt>
              <c:pt idx="1790">
                <c:v>-365.89300000000003</c:v>
              </c:pt>
              <c:pt idx="1791">
                <c:v>-365.71129999999994</c:v>
              </c:pt>
              <c:pt idx="1792">
                <c:v>-365.52940000000001</c:v>
              </c:pt>
              <c:pt idx="1793">
                <c:v>-365.3476</c:v>
              </c:pt>
              <c:pt idx="1794">
                <c:v>-365.16590000000002</c:v>
              </c:pt>
              <c:pt idx="1795">
                <c:v>-364.98400000000004</c:v>
              </c:pt>
              <c:pt idx="1796">
                <c:v>-364.80219999999997</c:v>
              </c:pt>
              <c:pt idx="1797">
                <c:v>-364.61939999999998</c:v>
              </c:pt>
              <c:pt idx="1798">
                <c:v>-364.43860000000001</c:v>
              </c:pt>
              <c:pt idx="1799">
                <c:v>-364.25580000000002</c:v>
              </c:pt>
              <c:pt idx="1800">
                <c:v>-364.07389999999998</c:v>
              </c:pt>
              <c:pt idx="1801">
                <c:v>-363.89210000000003</c:v>
              </c:pt>
              <c:pt idx="1802">
                <c:v>-363.71029999999996</c:v>
              </c:pt>
              <c:pt idx="1803">
                <c:v>-363.52839999999998</c:v>
              </c:pt>
              <c:pt idx="1804">
                <c:v>-363.34659999999997</c:v>
              </c:pt>
              <c:pt idx="1805">
                <c:v>-363.16469999999998</c:v>
              </c:pt>
              <c:pt idx="1806">
                <c:v>-362.98289999999997</c:v>
              </c:pt>
              <c:pt idx="1807">
                <c:v>-362.80009999999999</c:v>
              </c:pt>
              <c:pt idx="1808">
                <c:v>-362.6182</c:v>
              </c:pt>
              <c:pt idx="1809">
                <c:v>-362.43639999999999</c:v>
              </c:pt>
              <c:pt idx="1810">
                <c:v>-362.25450000000001</c:v>
              </c:pt>
              <c:pt idx="1811">
                <c:v>-362.07260000000002</c:v>
              </c:pt>
              <c:pt idx="1812">
                <c:v>-361.8897</c:v>
              </c:pt>
              <c:pt idx="1813">
                <c:v>-361.7079</c:v>
              </c:pt>
              <c:pt idx="1814">
                <c:v>-361.52600000000001</c:v>
              </c:pt>
              <c:pt idx="1815">
                <c:v>-361.34309999999999</c:v>
              </c:pt>
              <c:pt idx="1816">
                <c:v>-361.16219999999998</c:v>
              </c:pt>
              <c:pt idx="1817">
                <c:v>-360.9794</c:v>
              </c:pt>
              <c:pt idx="1818">
                <c:v>-360.79650000000004</c:v>
              </c:pt>
              <c:pt idx="1819">
                <c:v>-360.61559999999997</c:v>
              </c:pt>
              <c:pt idx="1820">
                <c:v>-360.43270000000001</c:v>
              </c:pt>
              <c:pt idx="1821">
                <c:v>-360.25080000000003</c:v>
              </c:pt>
              <c:pt idx="1822">
                <c:v>-360.06900000000002</c:v>
              </c:pt>
              <c:pt idx="1823">
                <c:v>-359.88610000000006</c:v>
              </c:pt>
              <c:pt idx="1824">
                <c:v>-359.70410000000004</c:v>
              </c:pt>
              <c:pt idx="1825">
                <c:v>-359.5222</c:v>
              </c:pt>
              <c:pt idx="1826">
                <c:v>-359.33929999999998</c:v>
              </c:pt>
              <c:pt idx="1827">
                <c:v>-359.15750000000003</c:v>
              </c:pt>
              <c:pt idx="1828">
                <c:v>-358.97550000000001</c:v>
              </c:pt>
              <c:pt idx="1829">
                <c:v>-358.79260000000005</c:v>
              </c:pt>
              <c:pt idx="1830">
                <c:v>-358.61070000000001</c:v>
              </c:pt>
              <c:pt idx="1831">
                <c:v>-358.42770000000002</c:v>
              </c:pt>
              <c:pt idx="1832">
                <c:v>-358.24580000000003</c:v>
              </c:pt>
              <c:pt idx="1833">
                <c:v>-358.06380000000001</c:v>
              </c:pt>
              <c:pt idx="1834">
                <c:v>-357.8809</c:v>
              </c:pt>
              <c:pt idx="1835">
                <c:v>-357.69799999999998</c:v>
              </c:pt>
              <c:pt idx="1836">
                <c:v>-357.51709999999997</c:v>
              </c:pt>
              <c:pt idx="1837">
                <c:v>-357.33410000000003</c:v>
              </c:pt>
              <c:pt idx="1838">
                <c:v>-357.15120000000002</c:v>
              </c:pt>
              <c:pt idx="1839">
                <c:v>-356.9692</c:v>
              </c:pt>
              <c:pt idx="1840">
                <c:v>-356.78719999999998</c:v>
              </c:pt>
              <c:pt idx="1841">
                <c:v>-356.60429999999997</c:v>
              </c:pt>
              <c:pt idx="1842">
                <c:v>-356.42129999999997</c:v>
              </c:pt>
              <c:pt idx="1843">
                <c:v>-356.23929999999996</c:v>
              </c:pt>
              <c:pt idx="1844">
                <c:v>-356.0564</c:v>
              </c:pt>
              <c:pt idx="1845">
                <c:v>-355.87439999999998</c:v>
              </c:pt>
              <c:pt idx="1846">
                <c:v>-355.69139999999999</c:v>
              </c:pt>
              <c:pt idx="1847">
                <c:v>-355.50939999999997</c:v>
              </c:pt>
              <c:pt idx="1848">
                <c:v>-355.32650000000001</c:v>
              </c:pt>
              <c:pt idx="1849">
                <c:v>-355.14349999999996</c:v>
              </c:pt>
              <c:pt idx="1850">
                <c:v>-354.96249999999998</c:v>
              </c:pt>
              <c:pt idx="1851">
                <c:v>-354.77949999999998</c:v>
              </c:pt>
              <c:pt idx="1852">
                <c:v>-354.59649999999999</c:v>
              </c:pt>
              <c:pt idx="1853">
                <c:v>-354.4135</c:v>
              </c:pt>
              <c:pt idx="1854">
                <c:v>-354.23050000000001</c:v>
              </c:pt>
              <c:pt idx="1855">
                <c:v>-354.04849999999999</c:v>
              </c:pt>
              <c:pt idx="1856">
                <c:v>-353.79879999999997</c:v>
              </c:pt>
              <c:pt idx="1857">
                <c:v>-353.49950000000001</c:v>
              </c:pt>
              <c:pt idx="1858">
                <c:v>-353.14879999999999</c:v>
              </c:pt>
              <c:pt idx="1859">
                <c:v>-352.68989999999997</c:v>
              </c:pt>
              <c:pt idx="1860">
                <c:v>-352.23089999999996</c:v>
              </c:pt>
              <c:pt idx="1861">
                <c:v>-351.77199999999999</c:v>
              </c:pt>
              <c:pt idx="1862">
                <c:v>-351.31309999999996</c:v>
              </c:pt>
              <c:pt idx="1863">
                <c:v>-350.85320000000002</c:v>
              </c:pt>
              <c:pt idx="1864">
                <c:v>-350.39520000000005</c:v>
              </c:pt>
              <c:pt idx="1865">
                <c:v>-349.93630000000002</c:v>
              </c:pt>
              <c:pt idx="1866">
                <c:v>-349.47630000000004</c:v>
              </c:pt>
              <c:pt idx="1867">
                <c:v>-349.01830000000001</c:v>
              </c:pt>
              <c:pt idx="1868">
                <c:v>-348.55840000000001</c:v>
              </c:pt>
              <c:pt idx="1869">
                <c:v>-348.0994</c:v>
              </c:pt>
              <c:pt idx="1870">
                <c:v>-347.63939999999997</c:v>
              </c:pt>
              <c:pt idx="1871">
                <c:v>-347.18040000000002</c:v>
              </c:pt>
              <c:pt idx="1872">
                <c:v>-346.72150000000005</c:v>
              </c:pt>
              <c:pt idx="1873">
                <c:v>-346.26139999999998</c:v>
              </c:pt>
              <c:pt idx="1874">
                <c:v>-345.80239999999998</c:v>
              </c:pt>
              <c:pt idx="1875">
                <c:v>-345.3424</c:v>
              </c:pt>
              <c:pt idx="1876">
                <c:v>-344.88339999999994</c:v>
              </c:pt>
              <c:pt idx="1877">
                <c:v>-344.42340000000002</c:v>
              </c:pt>
              <c:pt idx="1878">
                <c:v>-343.9633</c:v>
              </c:pt>
              <c:pt idx="1879">
                <c:v>-343.5043</c:v>
              </c:pt>
              <c:pt idx="1880">
                <c:v>-343.04419999999999</c:v>
              </c:pt>
              <c:pt idx="1881">
                <c:v>-342.58510000000001</c:v>
              </c:pt>
              <c:pt idx="1882">
                <c:v>-342.12609999999995</c:v>
              </c:pt>
              <c:pt idx="1883">
                <c:v>-341.66599999999994</c:v>
              </c:pt>
              <c:pt idx="1884">
                <c:v>-341.20600000000002</c:v>
              </c:pt>
              <c:pt idx="1885">
                <c:v>-340.74590000000001</c:v>
              </c:pt>
              <c:pt idx="1886">
                <c:v>-340.28570000000002</c:v>
              </c:pt>
              <c:pt idx="1887">
                <c:v>-339.82560000000001</c:v>
              </c:pt>
              <c:pt idx="1888">
                <c:v>-339.3655</c:v>
              </c:pt>
              <c:pt idx="1889">
                <c:v>-338.90539999999999</c:v>
              </c:pt>
              <c:pt idx="1890">
                <c:v>-338.44529999999997</c:v>
              </c:pt>
              <c:pt idx="1891">
                <c:v>-337.98520000000002</c:v>
              </c:pt>
              <c:pt idx="1892">
                <c:v>-337.52510000000001</c:v>
              </c:pt>
              <c:pt idx="1893">
                <c:v>-337.06589999999994</c:v>
              </c:pt>
              <c:pt idx="1894">
                <c:v>-336.60580000000004</c:v>
              </c:pt>
              <c:pt idx="1895">
                <c:v>-336.14559999999994</c:v>
              </c:pt>
              <c:pt idx="1896">
                <c:v>-335.68439999999998</c:v>
              </c:pt>
              <c:pt idx="1897">
                <c:v>-335.22429999999997</c:v>
              </c:pt>
              <c:pt idx="1898">
                <c:v>-334.76409999999998</c:v>
              </c:pt>
              <c:pt idx="1899">
                <c:v>-334.30400000000003</c:v>
              </c:pt>
              <c:pt idx="1900">
                <c:v>-333.84379999999999</c:v>
              </c:pt>
              <c:pt idx="1901">
                <c:v>-333.38249999999999</c:v>
              </c:pt>
              <c:pt idx="1902">
                <c:v>-332.92200000000003</c:v>
              </c:pt>
              <c:pt idx="1903">
                <c:v>-332.46170000000001</c:v>
              </c:pt>
              <c:pt idx="1904">
                <c:v>-332.00040000000001</c:v>
              </c:pt>
              <c:pt idx="1905">
                <c:v>-331.5401</c:v>
              </c:pt>
              <c:pt idx="1906">
                <c:v>-331.0797</c:v>
              </c:pt>
              <c:pt idx="1907">
                <c:v>-330.61840000000001</c:v>
              </c:pt>
              <c:pt idx="1908">
                <c:v>-330.15800000000002</c:v>
              </c:pt>
              <c:pt idx="1909">
                <c:v>-329.69749999999999</c:v>
              </c:pt>
              <c:pt idx="1910">
                <c:v>-329.23610000000002</c:v>
              </c:pt>
              <c:pt idx="1911">
                <c:v>-328.7756</c:v>
              </c:pt>
              <c:pt idx="1912">
                <c:v>-328.31420000000003</c:v>
              </c:pt>
              <c:pt idx="1913">
                <c:v>-327.85360000000003</c:v>
              </c:pt>
              <c:pt idx="1914">
                <c:v>-327.39299999999997</c:v>
              </c:pt>
              <c:pt idx="1915">
                <c:v>-326.9316</c:v>
              </c:pt>
              <c:pt idx="1916">
                <c:v>-326.471</c:v>
              </c:pt>
              <c:pt idx="1917">
                <c:v>-326.0093</c:v>
              </c:pt>
              <c:pt idx="1918">
                <c:v>-325.54880000000003</c:v>
              </c:pt>
              <c:pt idx="1919">
                <c:v>-325.08699999999999</c:v>
              </c:pt>
              <c:pt idx="1920">
                <c:v>-324.62639999999999</c:v>
              </c:pt>
              <c:pt idx="1921">
                <c:v>-324.16469999999998</c:v>
              </c:pt>
              <c:pt idx="1922">
                <c:v>-323.7029</c:v>
              </c:pt>
              <c:pt idx="1923">
                <c:v>-323.24220000000003</c:v>
              </c:pt>
              <c:pt idx="1924">
                <c:v>-322.78040000000004</c:v>
              </c:pt>
              <c:pt idx="1925">
                <c:v>-322.31959999999998</c:v>
              </c:pt>
              <c:pt idx="1926">
                <c:v>-321.85769999999997</c:v>
              </c:pt>
              <c:pt idx="1927">
                <c:v>-321.39589999999998</c:v>
              </c:pt>
              <c:pt idx="1928">
                <c:v>-320.93499999999995</c:v>
              </c:pt>
              <c:pt idx="1929">
                <c:v>-320.47309999999999</c:v>
              </c:pt>
              <c:pt idx="1930">
                <c:v>-320.01130000000001</c:v>
              </c:pt>
              <c:pt idx="1931">
                <c:v>-319.55029999999999</c:v>
              </c:pt>
              <c:pt idx="1932">
                <c:v>-319.0883</c:v>
              </c:pt>
              <c:pt idx="1933">
                <c:v>-318.62630000000001</c:v>
              </c:pt>
              <c:pt idx="1934">
                <c:v>-318.16430000000003</c:v>
              </c:pt>
              <c:pt idx="1935">
                <c:v>-317.70330000000001</c:v>
              </c:pt>
              <c:pt idx="1936">
                <c:v>-317.24119999999999</c:v>
              </c:pt>
              <c:pt idx="1937">
                <c:v>-316.77909999999997</c:v>
              </c:pt>
              <c:pt idx="1938">
                <c:v>-316.31700000000001</c:v>
              </c:pt>
              <c:pt idx="1939">
                <c:v>-315.85490000000004</c:v>
              </c:pt>
              <c:pt idx="1940">
                <c:v>-315.39380000000006</c:v>
              </c:pt>
              <c:pt idx="1941">
                <c:v>-314.93159999999995</c:v>
              </c:pt>
              <c:pt idx="1942">
                <c:v>-314.46939999999995</c:v>
              </c:pt>
              <c:pt idx="1943">
                <c:v>-314.00720000000001</c:v>
              </c:pt>
              <c:pt idx="1944">
                <c:v>-313.54489999999998</c:v>
              </c:pt>
              <c:pt idx="1945">
                <c:v>-313.08260000000001</c:v>
              </c:pt>
              <c:pt idx="1946">
                <c:v>-312.62040000000002</c:v>
              </c:pt>
              <c:pt idx="1947">
                <c:v>-312.15809999999999</c:v>
              </c:pt>
              <c:pt idx="1948">
                <c:v>-311.69560000000001</c:v>
              </c:pt>
              <c:pt idx="1949">
                <c:v>-311.23340000000002</c:v>
              </c:pt>
              <c:pt idx="1950">
                <c:v>-310.77089999999998</c:v>
              </c:pt>
              <c:pt idx="1951">
                <c:v>-310.30849999999998</c:v>
              </c:pt>
              <c:pt idx="1952">
                <c:v>-309.84610000000004</c:v>
              </c:pt>
              <c:pt idx="1953">
                <c:v>-309.3836</c:v>
              </c:pt>
              <c:pt idx="1954">
                <c:v>-308.9212</c:v>
              </c:pt>
              <c:pt idx="1955">
                <c:v>-308.45859999999999</c:v>
              </c:pt>
              <c:pt idx="1956">
                <c:v>-307.99619999999999</c:v>
              </c:pt>
              <c:pt idx="1957">
                <c:v>-307.5335</c:v>
              </c:pt>
              <c:pt idx="1958">
                <c:v>-307.07100000000003</c:v>
              </c:pt>
              <c:pt idx="1959">
                <c:v>-306.60829999999999</c:v>
              </c:pt>
              <c:pt idx="1960">
                <c:v>-306.14480000000003</c:v>
              </c:pt>
              <c:pt idx="1961">
                <c:v>-305.68200000000002</c:v>
              </c:pt>
              <c:pt idx="1962">
                <c:v>-305.21940000000006</c:v>
              </c:pt>
              <c:pt idx="1963">
                <c:v>-304.75670000000002</c:v>
              </c:pt>
              <c:pt idx="1964">
                <c:v>-304.29390000000001</c:v>
              </c:pt>
              <c:pt idx="1965">
                <c:v>-303.83019999999999</c:v>
              </c:pt>
              <c:pt idx="1966">
                <c:v>-303.36750000000001</c:v>
              </c:pt>
              <c:pt idx="1967">
                <c:v>-302.90469999999999</c:v>
              </c:pt>
              <c:pt idx="1968">
                <c:v>-302.4418</c:v>
              </c:pt>
              <c:pt idx="1969">
                <c:v>-301.97800000000001</c:v>
              </c:pt>
              <c:pt idx="1970">
                <c:v>-301.51519999999999</c:v>
              </c:pt>
              <c:pt idx="1971">
                <c:v>-301.0523</c:v>
              </c:pt>
              <c:pt idx="1972">
                <c:v>-300.5883</c:v>
              </c:pt>
              <c:pt idx="1973">
                <c:v>-300.12540000000001</c:v>
              </c:pt>
              <c:pt idx="1974">
                <c:v>-299.66239999999999</c:v>
              </c:pt>
              <c:pt idx="1975">
                <c:v>-299.19849999999997</c:v>
              </c:pt>
              <c:pt idx="1976">
                <c:v>-298.7355</c:v>
              </c:pt>
              <c:pt idx="1977">
                <c:v>-298.27249999999998</c:v>
              </c:pt>
              <c:pt idx="1978">
                <c:v>-297.80830000000003</c:v>
              </c:pt>
              <c:pt idx="1979">
                <c:v>-297.34530000000001</c:v>
              </c:pt>
              <c:pt idx="1980">
                <c:v>-296.8811</c:v>
              </c:pt>
              <c:pt idx="1981">
                <c:v>-296.41809999999998</c:v>
              </c:pt>
              <c:pt idx="1982">
                <c:v>-295.95389999999998</c:v>
              </c:pt>
              <c:pt idx="1983">
                <c:v>-295.49080000000004</c:v>
              </c:pt>
              <c:pt idx="1984">
                <c:v>-295.02650000000006</c:v>
              </c:pt>
              <c:pt idx="1985">
                <c:v>-294.56329999999997</c:v>
              </c:pt>
              <c:pt idx="1986">
                <c:v>-294.09899999999999</c:v>
              </c:pt>
              <c:pt idx="1987">
                <c:v>-293.63580000000002</c:v>
              </c:pt>
              <c:pt idx="1988">
                <c:v>-293.17160000000001</c:v>
              </c:pt>
              <c:pt idx="1989">
                <c:v>-292.70729999999998</c:v>
              </c:pt>
              <c:pt idx="1990">
                <c:v>-292.24380000000002</c:v>
              </c:pt>
              <c:pt idx="1991">
                <c:v>-291.77949999999998</c:v>
              </c:pt>
              <c:pt idx="1992">
                <c:v>-291.31610000000001</c:v>
              </c:pt>
              <c:pt idx="1993">
                <c:v>-290.85169999999999</c:v>
              </c:pt>
              <c:pt idx="1994">
                <c:v>-290.38729999999998</c:v>
              </c:pt>
              <c:pt idx="1995">
                <c:v>-289.92379999999997</c:v>
              </c:pt>
              <c:pt idx="1996">
                <c:v>-289.45920000000001</c:v>
              </c:pt>
              <c:pt idx="1997">
                <c:v>-288.9948</c:v>
              </c:pt>
              <c:pt idx="1998">
                <c:v>-288.53020000000004</c:v>
              </c:pt>
              <c:pt idx="1999">
                <c:v>-288.0668</c:v>
              </c:pt>
              <c:pt idx="2000">
                <c:v>-287.60210000000001</c:v>
              </c:pt>
              <c:pt idx="2001">
                <c:v>-287.13760000000002</c:v>
              </c:pt>
              <c:pt idx="2002">
                <c:v>-286.67289999999997</c:v>
              </c:pt>
              <c:pt idx="2003">
                <c:v>-286.20929999999998</c:v>
              </c:pt>
              <c:pt idx="2004">
                <c:v>-285.74459999999999</c:v>
              </c:pt>
              <c:pt idx="2005">
                <c:v>-285.27980000000002</c:v>
              </c:pt>
              <c:pt idx="2006">
                <c:v>-284.81510000000003</c:v>
              </c:pt>
              <c:pt idx="2007">
                <c:v>-284.35040000000004</c:v>
              </c:pt>
              <c:pt idx="2008">
                <c:v>-283.88569999999999</c:v>
              </c:pt>
              <c:pt idx="2009">
                <c:v>-283.42090000000002</c:v>
              </c:pt>
              <c:pt idx="2010">
                <c:v>-282.95699999999999</c:v>
              </c:pt>
              <c:pt idx="2011">
                <c:v>-282.49220000000003</c:v>
              </c:pt>
              <c:pt idx="2012">
                <c:v>-282.0274</c:v>
              </c:pt>
              <c:pt idx="2013">
                <c:v>-281.56239999999997</c:v>
              </c:pt>
              <c:pt idx="2014">
                <c:v>-281.09749999999997</c:v>
              </c:pt>
              <c:pt idx="2015">
                <c:v>-280.63249999999999</c:v>
              </c:pt>
              <c:pt idx="2016">
                <c:v>-280.16769999999997</c:v>
              </c:pt>
              <c:pt idx="2017">
                <c:v>-279.70269999999999</c:v>
              </c:pt>
              <c:pt idx="2018">
                <c:v>-279.23770000000002</c:v>
              </c:pt>
              <c:pt idx="2019">
                <c:v>-278.77260000000001</c:v>
              </c:pt>
              <c:pt idx="2020">
                <c:v>-278.3075</c:v>
              </c:pt>
              <c:pt idx="2021">
                <c:v>-277.8415</c:v>
              </c:pt>
              <c:pt idx="2022">
                <c:v>-277.37630000000001</c:v>
              </c:pt>
              <c:pt idx="2023">
                <c:v>-276.91120000000001</c:v>
              </c:pt>
              <c:pt idx="2024">
                <c:v>-276.44600000000003</c:v>
              </c:pt>
              <c:pt idx="2025">
                <c:v>-275.98090000000002</c:v>
              </c:pt>
              <c:pt idx="2026">
                <c:v>-275.51580000000001</c:v>
              </c:pt>
              <c:pt idx="2027">
                <c:v>-275.0505</c:v>
              </c:pt>
              <c:pt idx="2028">
                <c:v>-274.58429999999998</c:v>
              </c:pt>
              <c:pt idx="2029">
                <c:v>-274.1189</c:v>
              </c:pt>
              <c:pt idx="2030">
                <c:v>-273.65369999999996</c:v>
              </c:pt>
              <c:pt idx="2031">
                <c:v>-273.1884</c:v>
              </c:pt>
              <c:pt idx="2032">
                <c:v>-272.72300000000001</c:v>
              </c:pt>
              <c:pt idx="2033">
                <c:v>-272.25670000000002</c:v>
              </c:pt>
              <c:pt idx="2034">
                <c:v>-271.7912</c:v>
              </c:pt>
              <c:pt idx="2035">
                <c:v>-271.32580000000002</c:v>
              </c:pt>
              <c:pt idx="2036">
                <c:v>-270.85939999999999</c:v>
              </c:pt>
              <c:pt idx="2037">
                <c:v>-270.39390000000003</c:v>
              </c:pt>
              <c:pt idx="2038">
                <c:v>-269.92849999999999</c:v>
              </c:pt>
              <c:pt idx="2039">
                <c:v>-269.46190000000001</c:v>
              </c:pt>
              <c:pt idx="2040">
                <c:v>-268.99630000000002</c:v>
              </c:pt>
              <c:pt idx="2041">
                <c:v>-268.5308</c:v>
              </c:pt>
              <c:pt idx="2042">
                <c:v>-268.06420000000003</c:v>
              </c:pt>
              <c:pt idx="2043">
                <c:v>-267.59860000000003</c:v>
              </c:pt>
              <c:pt idx="2044">
                <c:v>-267.13200000000001</c:v>
              </c:pt>
              <c:pt idx="2045">
                <c:v>-266.66633999999999</c:v>
              </c:pt>
              <c:pt idx="2046">
                <c:v>-266.19970000000001</c:v>
              </c:pt>
              <c:pt idx="2047">
                <c:v>-265.73397</c:v>
              </c:pt>
              <c:pt idx="2048">
                <c:v>-265.26724000000002</c:v>
              </c:pt>
              <c:pt idx="2049">
                <c:v>-264.80141000000003</c:v>
              </c:pt>
              <c:pt idx="2050">
                <c:v>-264.33467999999999</c:v>
              </c:pt>
              <c:pt idx="2051">
                <c:v>-263.86885999999998</c:v>
              </c:pt>
              <c:pt idx="2052">
                <c:v>-263.40213999999997</c:v>
              </c:pt>
              <c:pt idx="2053">
                <c:v>-262.93621999999999</c:v>
              </c:pt>
              <c:pt idx="2054">
                <c:v>-262.46940999999998</c:v>
              </c:pt>
              <c:pt idx="2055">
                <c:v>-262.00338999999997</c:v>
              </c:pt>
              <c:pt idx="2056">
                <c:v>-261.53658000000001</c:v>
              </c:pt>
              <c:pt idx="2057">
                <c:v>-261.06957</c:v>
              </c:pt>
              <c:pt idx="2058">
                <c:v>-260.60356999999999</c:v>
              </c:pt>
              <c:pt idx="2059">
                <c:v>-260.13666000000001</c:v>
              </c:pt>
              <c:pt idx="2060">
                <c:v>-259.66955999999999</c:v>
              </c:pt>
              <c:pt idx="2061">
                <c:v>-259.20355999999998</c:v>
              </c:pt>
              <c:pt idx="2062">
                <c:v>-258.73657000000003</c:v>
              </c:pt>
              <c:pt idx="2063">
                <c:v>-258.26936999999998</c:v>
              </c:pt>
              <c:pt idx="2064">
                <c:v>-257.80228</c:v>
              </c:pt>
              <c:pt idx="2065">
                <c:v>-257.33618999999999</c:v>
              </c:pt>
              <c:pt idx="2066">
                <c:v>-256.86901</c:v>
              </c:pt>
              <c:pt idx="2067">
                <c:v>-256.40181999999999</c:v>
              </c:pt>
              <c:pt idx="2068">
                <c:v>-255.93454</c:v>
              </c:pt>
              <c:pt idx="2069">
                <c:v>-255.46845999999999</c:v>
              </c:pt>
              <c:pt idx="2070">
                <c:v>-255.00117999999998</c:v>
              </c:pt>
              <c:pt idx="2071">
                <c:v>-254.53380999999999</c:v>
              </c:pt>
              <c:pt idx="2072">
                <c:v>-254.06653999999997</c:v>
              </c:pt>
              <c:pt idx="2073">
                <c:v>-253.59917000000002</c:v>
              </c:pt>
              <c:pt idx="2074">
                <c:v>-253.13190000000003</c:v>
              </c:pt>
              <c:pt idx="2075">
                <c:v>-252.66444000000001</c:v>
              </c:pt>
              <c:pt idx="2076">
                <c:v>-252.19708000000003</c:v>
              </c:pt>
              <c:pt idx="2077">
                <c:v>-251.72962000000001</c:v>
              </c:pt>
              <c:pt idx="2078">
                <c:v>-251.26215999999999</c:v>
              </c:pt>
              <c:pt idx="2079">
                <c:v>-250.79470000000001</c:v>
              </c:pt>
              <c:pt idx="2080">
                <c:v>-250.32715000000002</c:v>
              </c:pt>
              <c:pt idx="2081">
                <c:v>-249.8597</c:v>
              </c:pt>
              <c:pt idx="2082">
                <c:v>-249.39216000000002</c:v>
              </c:pt>
              <c:pt idx="2083">
                <c:v>-248.92460999999997</c:v>
              </c:pt>
              <c:pt idx="2084">
                <c:v>-248.45706999999999</c:v>
              </c:pt>
              <c:pt idx="2085">
                <c:v>-247.98933</c:v>
              </c:pt>
              <c:pt idx="2086">
                <c:v>-247.52179000000001</c:v>
              </c:pt>
              <c:pt idx="2087">
                <c:v>-247.05405999999999</c:v>
              </c:pt>
              <c:pt idx="2088">
                <c:v>-246.58642</c:v>
              </c:pt>
              <c:pt idx="2089">
                <c:v>-246.11869000000002</c:v>
              </c:pt>
              <c:pt idx="2090">
                <c:v>-245.65097000000003</c:v>
              </c:pt>
              <c:pt idx="2091">
                <c:v>-245.18313999999998</c:v>
              </c:pt>
              <c:pt idx="2092">
                <c:v>-244.71442000000002</c:v>
              </c:pt>
              <c:pt idx="2093">
                <c:v>-244.24659999999997</c:v>
              </c:pt>
              <c:pt idx="2094">
                <c:v>-243.77868000000001</c:v>
              </c:pt>
              <c:pt idx="2095">
                <c:v>-243.31086999999999</c:v>
              </c:pt>
              <c:pt idx="2096">
                <c:v>-242.84305000000001</c:v>
              </c:pt>
              <c:pt idx="2097">
                <c:v>-242.37404000000001</c:v>
              </c:pt>
              <c:pt idx="2098">
                <c:v>-241.90613999999999</c:v>
              </c:pt>
              <c:pt idx="2099">
                <c:v>-241.43822999999998</c:v>
              </c:pt>
              <c:pt idx="2100">
                <c:v>-240.96922999999998</c:v>
              </c:pt>
              <c:pt idx="2101">
                <c:v>-240.50122999999996</c:v>
              </c:pt>
              <c:pt idx="2102">
                <c:v>-240.03313</c:v>
              </c:pt>
              <c:pt idx="2103">
                <c:v>-239.56413000000001</c:v>
              </c:pt>
              <c:pt idx="2104">
                <c:v>-239.09594000000001</c:v>
              </c:pt>
              <c:pt idx="2105">
                <c:v>-238.62795</c:v>
              </c:pt>
              <c:pt idx="2106">
                <c:v>-238.15886</c:v>
              </c:pt>
              <c:pt idx="2107">
                <c:v>-237.69058000000001</c:v>
              </c:pt>
              <c:pt idx="2108">
                <c:v>-237.22248999999999</c:v>
              </c:pt>
              <c:pt idx="2109">
                <c:v>-236.75331</c:v>
              </c:pt>
              <c:pt idx="2110">
                <c:v>-236.28504000000001</c:v>
              </c:pt>
              <c:pt idx="2111">
                <c:v>-235.81575999999998</c:v>
              </c:pt>
              <c:pt idx="2112">
                <c:v>-235.34748999999999</c:v>
              </c:pt>
              <c:pt idx="2113">
                <c:v>-234.87822</c:v>
              </c:pt>
              <c:pt idx="2114">
                <c:v>-234.40995000000001</c:v>
              </c:pt>
              <c:pt idx="2115">
                <c:v>-233.94058000000001</c:v>
              </c:pt>
              <c:pt idx="2116">
                <c:v>-233.47212000000002</c:v>
              </c:pt>
              <c:pt idx="2117">
                <c:v>-233.00286</c:v>
              </c:pt>
              <c:pt idx="2118">
                <c:v>-232.5333</c:v>
              </c:pt>
              <c:pt idx="2119">
                <c:v>-232.06495000000001</c:v>
              </c:pt>
              <c:pt idx="2120">
                <c:v>-231.59548999999998</c:v>
              </c:pt>
              <c:pt idx="2121">
                <c:v>-231.12693999999999</c:v>
              </c:pt>
              <c:pt idx="2122">
                <c:v>-230.65749</c:v>
              </c:pt>
              <c:pt idx="2123">
                <c:v>-230.18795</c:v>
              </c:pt>
              <c:pt idx="2124">
                <c:v>-229.71940999999998</c:v>
              </c:pt>
              <c:pt idx="2125">
                <c:v>-229.24976999999998</c:v>
              </c:pt>
              <c:pt idx="2126">
                <c:v>-228.78023000000002</c:v>
              </c:pt>
              <c:pt idx="2127">
                <c:v>-228.31148999999999</c:v>
              </c:pt>
              <c:pt idx="2128">
                <c:v>-227.84196</c:v>
              </c:pt>
              <c:pt idx="2129">
                <c:v>-227.37223</c:v>
              </c:pt>
              <c:pt idx="2130">
                <c:v>-226.9025</c:v>
              </c:pt>
              <c:pt idx="2131">
                <c:v>-226.43367000000001</c:v>
              </c:pt>
              <c:pt idx="2132">
                <c:v>-225.96404999999999</c:v>
              </c:pt>
              <c:pt idx="2133">
                <c:v>-225.49422999999999</c:v>
              </c:pt>
              <c:pt idx="2134">
                <c:v>-225.02440999999999</c:v>
              </c:pt>
              <c:pt idx="2135">
                <c:v>-224.55450000000002</c:v>
              </c:pt>
              <c:pt idx="2136">
                <c:v>-224.08468000000002</c:v>
              </c:pt>
              <c:pt idx="2137">
                <c:v>-223.61487</c:v>
              </c:pt>
              <c:pt idx="2138">
                <c:v>-223.14596</c:v>
              </c:pt>
              <c:pt idx="2139">
                <c:v>-222.67606000000001</c:v>
              </c:pt>
              <c:pt idx="2140">
                <c:v>-222.20606000000001</c:v>
              </c:pt>
              <c:pt idx="2141">
                <c:v>-221.73606000000001</c:v>
              </c:pt>
              <c:pt idx="2142">
                <c:v>-221.26606000000001</c:v>
              </c:pt>
              <c:pt idx="2143">
                <c:v>-220.79606000000001</c:v>
              </c:pt>
              <c:pt idx="2144">
                <c:v>-220.32596999999998</c:v>
              </c:pt>
              <c:pt idx="2145">
                <c:v>-219.85588000000001</c:v>
              </c:pt>
              <c:pt idx="2146">
                <c:v>-219.38578999999999</c:v>
              </c:pt>
              <c:pt idx="2147">
                <c:v>-218.91569999999999</c:v>
              </c:pt>
              <c:pt idx="2148">
                <c:v>-218.44551999999999</c:v>
              </c:pt>
              <c:pt idx="2149">
                <c:v>-217.97543999999999</c:v>
              </c:pt>
              <c:pt idx="2150">
                <c:v>-217.50515999999999</c:v>
              </c:pt>
              <c:pt idx="2151">
                <c:v>-217.03458999999998</c:v>
              </c:pt>
              <c:pt idx="2152">
                <c:v>-216.56430999999998</c:v>
              </c:pt>
              <c:pt idx="2153">
                <c:v>-216.15306999999999</c:v>
              </c:pt>
              <c:pt idx="2154">
                <c:v>-215.80670000000001</c:v>
              </c:pt>
              <c:pt idx="2155">
                <c:v>-215.46043</c:v>
              </c:pt>
              <c:pt idx="2156">
                <c:v>-215.11396999999999</c:v>
              </c:pt>
              <c:pt idx="2157">
                <c:v>-214.76760999999999</c:v>
              </c:pt>
              <c:pt idx="2158">
                <c:v>-214.42135000000002</c:v>
              </c:pt>
              <c:pt idx="2159">
                <c:v>-214.07479000000001</c:v>
              </c:pt>
              <c:pt idx="2160">
                <c:v>-213.72853000000003</c:v>
              </c:pt>
              <c:pt idx="2161">
                <c:v>-213.39854</c:v>
              </c:pt>
              <c:pt idx="2162">
                <c:v>-213.25179</c:v>
              </c:pt>
              <c:pt idx="2163">
                <c:v>-213.10505000000001</c:v>
              </c:pt>
              <c:pt idx="2164">
                <c:v>-212.95831000000001</c:v>
              </c:pt>
              <c:pt idx="2165">
                <c:v>-212.81166999999999</c:v>
              </c:pt>
              <c:pt idx="2166">
                <c:v>-212.66471999999999</c:v>
              </c:pt>
              <c:pt idx="2167">
                <c:v>-212.51808</c:v>
              </c:pt>
              <c:pt idx="2168">
                <c:v>-212.37134000000003</c:v>
              </c:pt>
              <c:pt idx="2169">
                <c:v>-212.22460999999998</c:v>
              </c:pt>
              <c:pt idx="2170">
                <c:v>-212.07776999999999</c:v>
              </c:pt>
              <c:pt idx="2171">
                <c:v>-211.98677000000004</c:v>
              </c:pt>
              <c:pt idx="2172">
                <c:v>-211.96764999999999</c:v>
              </c:pt>
              <c:pt idx="2173">
                <c:v>-211.94853000000001</c:v>
              </c:pt>
              <c:pt idx="2174">
                <c:v>-211.92931000000002</c:v>
              </c:pt>
              <c:pt idx="2175">
                <c:v>-211.91019</c:v>
              </c:pt>
              <c:pt idx="2176">
                <c:v>-211.89096999999998</c:v>
              </c:pt>
              <c:pt idx="2177">
                <c:v>-211.87184999999999</c:v>
              </c:pt>
              <c:pt idx="2178">
                <c:v>-211.85253</c:v>
              </c:pt>
              <c:pt idx="2179">
                <c:v>-211.83341000000001</c:v>
              </c:pt>
              <c:pt idx="2180">
                <c:v>-211.81429</c:v>
              </c:pt>
              <c:pt idx="2181">
                <c:v>-211.79517000000001</c:v>
              </c:pt>
              <c:pt idx="2182">
                <c:v>-211.77605</c:v>
              </c:pt>
              <c:pt idx="2183">
                <c:v>-211.75682</c:v>
              </c:pt>
              <c:pt idx="2184">
                <c:v>-211.73770000000002</c:v>
              </c:pt>
              <c:pt idx="2185">
                <c:v>-211.71848</c:v>
              </c:pt>
              <c:pt idx="2186">
                <c:v>-211.69926000000001</c:v>
              </c:pt>
              <c:pt idx="2187">
                <c:v>-211.68004000000002</c:v>
              </c:pt>
              <c:pt idx="2188">
                <c:v>-211.66102000000001</c:v>
              </c:pt>
              <c:pt idx="2189">
                <c:v>-211.64179999999999</c:v>
              </c:pt>
              <c:pt idx="2190">
                <c:v>-211.62268</c:v>
              </c:pt>
              <c:pt idx="2191">
                <c:v>-211.60345999999998</c:v>
              </c:pt>
              <c:pt idx="2192">
                <c:v>-211.58434</c:v>
              </c:pt>
              <c:pt idx="2193">
                <c:v>-211.56502</c:v>
              </c:pt>
              <c:pt idx="2194">
                <c:v>-211.54590000000002</c:v>
              </c:pt>
              <c:pt idx="2195">
                <c:v>-211.52678</c:v>
              </c:pt>
              <c:pt idx="2196">
                <c:v>-211.50765999999999</c:v>
              </c:pt>
              <c:pt idx="2197">
                <c:v>-211.48853999999997</c:v>
              </c:pt>
              <c:pt idx="2198">
                <c:v>-211.46931999999998</c:v>
              </c:pt>
              <c:pt idx="2199">
                <c:v>-211.4502</c:v>
              </c:pt>
              <c:pt idx="2200">
                <c:v>-211.43088</c:v>
              </c:pt>
              <c:pt idx="2201">
                <c:v>-211.41175999999999</c:v>
              </c:pt>
              <c:pt idx="2202">
                <c:v>-211.39255</c:v>
              </c:pt>
              <c:pt idx="2203">
                <c:v>-211.37343000000001</c:v>
              </c:pt>
              <c:pt idx="2204">
                <c:v>-211.35420999999999</c:v>
              </c:pt>
              <c:pt idx="2205">
                <c:v>-211.33518999999998</c:v>
              </c:pt>
              <c:pt idx="2206">
                <c:v>-211.31596999999999</c:v>
              </c:pt>
              <c:pt idx="2207">
                <c:v>-211.29685000000001</c:v>
              </c:pt>
              <c:pt idx="2208">
                <c:v>-211.27753000000001</c:v>
              </c:pt>
              <c:pt idx="2209">
                <c:v>-211.25840999999997</c:v>
              </c:pt>
              <c:pt idx="2210">
                <c:v>-211.23928999999998</c:v>
              </c:pt>
              <c:pt idx="2211">
                <c:v>-211.22007000000002</c:v>
              </c:pt>
              <c:pt idx="2212">
                <c:v>-211.20095000000001</c:v>
              </c:pt>
              <c:pt idx="2213">
                <c:v>-211.18182999999999</c:v>
              </c:pt>
              <c:pt idx="2214">
                <c:v>-211.16271</c:v>
              </c:pt>
              <c:pt idx="2215">
                <c:v>-211.14339000000001</c:v>
              </c:pt>
              <c:pt idx="2216">
                <c:v>-211.12427000000002</c:v>
              </c:pt>
              <c:pt idx="2217">
                <c:v>-211.10505999999998</c:v>
              </c:pt>
              <c:pt idx="2218">
                <c:v>-211.08593999999999</c:v>
              </c:pt>
              <c:pt idx="2219">
                <c:v>-211.06672</c:v>
              </c:pt>
              <c:pt idx="2220">
                <c:v>-211.04760000000002</c:v>
              </c:pt>
              <c:pt idx="2221">
                <c:v>-211.02837999999997</c:v>
              </c:pt>
              <c:pt idx="2222">
                <c:v>-211.00935999999999</c:v>
              </c:pt>
              <c:pt idx="2223">
                <c:v>-210.99014</c:v>
              </c:pt>
              <c:pt idx="2224">
                <c:v>-210.97092000000001</c:v>
              </c:pt>
              <c:pt idx="2225">
                <c:v>-210.95179999999999</c:v>
              </c:pt>
              <c:pt idx="2226">
                <c:v>-210.93259</c:v>
              </c:pt>
              <c:pt idx="2227">
                <c:v>-210.91346999999999</c:v>
              </c:pt>
              <c:pt idx="2228">
                <c:v>-210.89425</c:v>
              </c:pt>
              <c:pt idx="2229">
                <c:v>-210.87513000000001</c:v>
              </c:pt>
              <c:pt idx="2230">
                <c:v>-210.85581000000002</c:v>
              </c:pt>
              <c:pt idx="2231">
                <c:v>-210.83678999999998</c:v>
              </c:pt>
              <c:pt idx="2232">
                <c:v>-210.81757000000002</c:v>
              </c:pt>
              <c:pt idx="2233">
                <c:v>-210.79846000000001</c:v>
              </c:pt>
              <c:pt idx="2234">
                <c:v>-210.77924000000002</c:v>
              </c:pt>
              <c:pt idx="2235">
                <c:v>-210.76012</c:v>
              </c:pt>
              <c:pt idx="2236">
                <c:v>-210.74090000000001</c:v>
              </c:pt>
              <c:pt idx="2237">
                <c:v>-210.72178000000002</c:v>
              </c:pt>
              <c:pt idx="2238">
                <c:v>-210.70256000000001</c:v>
              </c:pt>
              <c:pt idx="2239">
                <c:v>-210.68334999999999</c:v>
              </c:pt>
              <c:pt idx="2240">
                <c:v>-210.66423</c:v>
              </c:pt>
              <c:pt idx="2241">
                <c:v>-210.64511000000002</c:v>
              </c:pt>
              <c:pt idx="2242">
                <c:v>-210.62599</c:v>
              </c:pt>
              <c:pt idx="2243">
                <c:v>-210.60676999999998</c:v>
              </c:pt>
              <c:pt idx="2244">
                <c:v>-210.58766</c:v>
              </c:pt>
              <c:pt idx="2245">
                <c:v>-210.56834000000001</c:v>
              </c:pt>
              <c:pt idx="2246">
                <c:v>-210.54922000000002</c:v>
              </c:pt>
              <c:pt idx="2247">
                <c:v>-210.53000000000003</c:v>
              </c:pt>
              <c:pt idx="2248">
                <c:v>-210.51087999999999</c:v>
              </c:pt>
              <c:pt idx="2249">
                <c:v>-210.49167</c:v>
              </c:pt>
              <c:pt idx="2250">
                <c:v>-210.47264999999999</c:v>
              </c:pt>
              <c:pt idx="2251">
                <c:v>-210.45343000000003</c:v>
              </c:pt>
              <c:pt idx="2252">
                <c:v>-210.43431000000001</c:v>
              </c:pt>
              <c:pt idx="2253">
                <c:v>-210.4151</c:v>
              </c:pt>
              <c:pt idx="2254">
                <c:v>-210.39588000000001</c:v>
              </c:pt>
              <c:pt idx="2255">
                <c:v>-210.37675999999999</c:v>
              </c:pt>
              <c:pt idx="2256">
                <c:v>-210.35753999999997</c:v>
              </c:pt>
              <c:pt idx="2257">
                <c:v>-210.33841999999999</c:v>
              </c:pt>
              <c:pt idx="2258">
                <c:v>-210.31921</c:v>
              </c:pt>
              <c:pt idx="2259">
                <c:v>-210.30009000000001</c:v>
              </c:pt>
              <c:pt idx="2260">
                <c:v>-210.28086999999999</c:v>
              </c:pt>
              <c:pt idx="2261">
                <c:v>-210.26175000000001</c:v>
              </c:pt>
              <c:pt idx="2262">
                <c:v>-210.24254000000002</c:v>
              </c:pt>
              <c:pt idx="2263">
                <c:v>-210.22342000000003</c:v>
              </c:pt>
              <c:pt idx="2264">
                <c:v>-210.20419999999999</c:v>
              </c:pt>
              <c:pt idx="2265">
                <c:v>-210.18509</c:v>
              </c:pt>
              <c:pt idx="2266">
                <c:v>-210.16587000000001</c:v>
              </c:pt>
              <c:pt idx="2267">
                <c:v>-210.14675</c:v>
              </c:pt>
              <c:pt idx="2268">
                <c:v>-210.12752999999998</c:v>
              </c:pt>
              <c:pt idx="2269">
                <c:v>-210.10831999999999</c:v>
              </c:pt>
              <c:pt idx="2270">
                <c:v>-210.08930000000001</c:v>
              </c:pt>
              <c:pt idx="2271">
                <c:v>-210.07008000000002</c:v>
              </c:pt>
              <c:pt idx="2272">
                <c:v>-210.05097000000001</c:v>
              </c:pt>
              <c:pt idx="2273">
                <c:v>-210.03174999999999</c:v>
              </c:pt>
              <c:pt idx="2274">
                <c:v>-210.01263</c:v>
              </c:pt>
              <c:pt idx="2275">
                <c:v>-209.99332000000001</c:v>
              </c:pt>
              <c:pt idx="2276">
                <c:v>-209.9742</c:v>
              </c:pt>
              <c:pt idx="2277">
                <c:v>-209.95497999999998</c:v>
              </c:pt>
              <c:pt idx="2278">
                <c:v>-209.93586999999999</c:v>
              </c:pt>
              <c:pt idx="2279">
                <c:v>-209.91665</c:v>
              </c:pt>
              <c:pt idx="2280">
                <c:v>-209.89753000000002</c:v>
              </c:pt>
              <c:pt idx="2281">
                <c:v>-209.87842000000001</c:v>
              </c:pt>
              <c:pt idx="2282">
                <c:v>-209.85929999999999</c:v>
              </c:pt>
              <c:pt idx="2283">
                <c:v>-209.83998</c:v>
              </c:pt>
              <c:pt idx="2284">
                <c:v>-209.82087000000001</c:v>
              </c:pt>
              <c:pt idx="2285">
                <c:v>-209.80175</c:v>
              </c:pt>
              <c:pt idx="2286">
                <c:v>-209.78253000000001</c:v>
              </c:pt>
              <c:pt idx="2287">
                <c:v>-209.76342000000002</c:v>
              </c:pt>
              <c:pt idx="2288">
                <c:v>-209.74420000000001</c:v>
              </c:pt>
              <c:pt idx="2289">
                <c:v>-209.72507999999999</c:v>
              </c:pt>
              <c:pt idx="2290">
                <c:v>-209.70577</c:v>
              </c:pt>
              <c:pt idx="2291">
                <c:v>-209.68664999999999</c:v>
              </c:pt>
              <c:pt idx="2292">
                <c:v>-209.66754</c:v>
              </c:pt>
              <c:pt idx="2293">
                <c:v>-209.64841999999999</c:v>
              </c:pt>
              <c:pt idx="2294">
                <c:v>-209.6292</c:v>
              </c:pt>
              <c:pt idx="2295">
                <c:v>-209.61009000000001</c:v>
              </c:pt>
              <c:pt idx="2296">
                <c:v>-209.59087</c:v>
              </c:pt>
              <c:pt idx="2297">
                <c:v>-209.57166000000001</c:v>
              </c:pt>
              <c:pt idx="2298">
                <c:v>-209.55243999999999</c:v>
              </c:pt>
              <c:pt idx="2299">
                <c:v>-209.53332</c:v>
              </c:pt>
              <c:pt idx="2300">
                <c:v>-209.51411000000002</c:v>
              </c:pt>
              <c:pt idx="2301">
                <c:v>-209.49499</c:v>
              </c:pt>
              <c:pt idx="2302">
                <c:v>-209.47588000000002</c:v>
              </c:pt>
              <c:pt idx="2303">
                <c:v>-209.45676</c:v>
              </c:pt>
              <c:pt idx="2304">
                <c:v>-209.43763999999999</c:v>
              </c:pt>
              <c:pt idx="2305">
                <c:v>-209.41832999999997</c:v>
              </c:pt>
              <c:pt idx="2306">
                <c:v>-209.39920999999998</c:v>
              </c:pt>
              <c:pt idx="2307">
                <c:v>-209.38</c:v>
              </c:pt>
              <c:pt idx="2308">
                <c:v>-209.36088000000001</c:v>
              </c:pt>
              <c:pt idx="2309">
                <c:v>-209.34166999999999</c:v>
              </c:pt>
              <c:pt idx="2310">
                <c:v>-209.32254999999998</c:v>
              </c:pt>
              <c:pt idx="2311">
                <c:v>-209.30333999999999</c:v>
              </c:pt>
              <c:pt idx="2312">
                <c:v>-209.28412</c:v>
              </c:pt>
              <c:pt idx="2313">
                <c:v>-209.26490000000001</c:v>
              </c:pt>
              <c:pt idx="2314">
                <c:v>-209.24579</c:v>
              </c:pt>
              <c:pt idx="2315">
                <c:v>-209.22667000000001</c:v>
              </c:pt>
              <c:pt idx="2316">
                <c:v>-209.20756</c:v>
              </c:pt>
              <c:pt idx="2317">
                <c:v>-209.18834000000001</c:v>
              </c:pt>
              <c:pt idx="2318">
                <c:v>-209.16922999999997</c:v>
              </c:pt>
              <c:pt idx="2319">
                <c:v>-209.15010999999998</c:v>
              </c:pt>
              <c:pt idx="2320">
                <c:v>-209.13079999999999</c:v>
              </c:pt>
              <c:pt idx="2321">
                <c:v>-209.11168000000001</c:v>
              </c:pt>
              <c:pt idx="2322">
                <c:v>-209.09247000000002</c:v>
              </c:pt>
              <c:pt idx="2323">
                <c:v>-209.07335</c:v>
              </c:pt>
              <c:pt idx="2324">
                <c:v>-209.05414000000002</c:v>
              </c:pt>
              <c:pt idx="2325">
                <c:v>-209.03502</c:v>
              </c:pt>
              <c:pt idx="2326">
                <c:v>-209.01581000000002</c:v>
              </c:pt>
              <c:pt idx="2327">
                <c:v>-208.99669</c:v>
              </c:pt>
              <c:pt idx="2328">
                <c:v>-208.97747999999999</c:v>
              </c:pt>
              <c:pt idx="2329">
                <c:v>-208.95836</c:v>
              </c:pt>
              <c:pt idx="2330">
                <c:v>-208.93915000000001</c:v>
              </c:pt>
              <c:pt idx="2331">
                <c:v>-208.92003</c:v>
              </c:pt>
              <c:pt idx="2332">
                <c:v>-208.90081999999998</c:v>
              </c:pt>
              <c:pt idx="2333">
                <c:v>-208.88170000000002</c:v>
              </c:pt>
              <c:pt idx="2334">
                <c:v>-208.86249000000001</c:v>
              </c:pt>
              <c:pt idx="2335">
                <c:v>-208.84327999999999</c:v>
              </c:pt>
              <c:pt idx="2336">
                <c:v>-208.82405999999997</c:v>
              </c:pt>
              <c:pt idx="2337">
                <c:v>-208.80494999999999</c:v>
              </c:pt>
              <c:pt idx="2338">
                <c:v>-208.78583</c:v>
              </c:pt>
              <c:pt idx="2339">
                <c:v>-208.76662000000002</c:v>
              </c:pt>
              <c:pt idx="2340">
                <c:v>-208.74759999999998</c:v>
              </c:pt>
              <c:pt idx="2341">
                <c:v>-208.72838999999999</c:v>
              </c:pt>
              <c:pt idx="2342">
                <c:v>-208.70917000000003</c:v>
              </c:pt>
              <c:pt idx="2343">
                <c:v>-208.68996000000001</c:v>
              </c:pt>
              <c:pt idx="2344">
                <c:v>-208.67084999999997</c:v>
              </c:pt>
              <c:pt idx="2345">
                <c:v>-208.65163000000001</c:v>
              </c:pt>
              <c:pt idx="2346">
                <c:v>-208.63251999999997</c:v>
              </c:pt>
              <c:pt idx="2347">
                <c:v>-208.61330000000001</c:v>
              </c:pt>
              <c:pt idx="2348">
                <c:v>-208.59419000000003</c:v>
              </c:pt>
              <c:pt idx="2349">
                <c:v>-208.57497999999998</c:v>
              </c:pt>
              <c:pt idx="2350">
                <c:v>-208.55575999999999</c:v>
              </c:pt>
              <c:pt idx="2351">
                <c:v>-208.53655000000001</c:v>
              </c:pt>
              <c:pt idx="2352">
                <c:v>-208.51742999999999</c:v>
              </c:pt>
              <c:pt idx="2353">
                <c:v>-208.49831999999998</c:v>
              </c:pt>
              <c:pt idx="2354">
                <c:v>-208.47920999999999</c:v>
              </c:pt>
              <c:pt idx="2355">
                <c:v>-208.45999</c:v>
              </c:pt>
              <c:pt idx="2356">
                <c:v>-208.44087999999999</c:v>
              </c:pt>
              <c:pt idx="2357">
                <c:v>-208.42167000000001</c:v>
              </c:pt>
              <c:pt idx="2358">
                <c:v>-208.40244999999999</c:v>
              </c:pt>
              <c:pt idx="2359">
                <c:v>-208.38333999999998</c:v>
              </c:pt>
              <c:pt idx="2360">
                <c:v>-208.36412000000001</c:v>
              </c:pt>
              <c:pt idx="2361">
                <c:v>-208.34501</c:v>
              </c:pt>
              <c:pt idx="2362">
                <c:v>-208.32579999999999</c:v>
              </c:pt>
              <c:pt idx="2363">
                <c:v>-208.30668</c:v>
              </c:pt>
              <c:pt idx="2364">
                <c:v>-208.28737000000001</c:v>
              </c:pt>
              <c:pt idx="2365">
                <c:v>-208.26826</c:v>
              </c:pt>
              <c:pt idx="2366">
                <c:v>-208.24903999999998</c:v>
              </c:pt>
              <c:pt idx="2367">
                <c:v>-208.23003</c:v>
              </c:pt>
              <c:pt idx="2368">
                <c:v>-208.21082000000001</c:v>
              </c:pt>
              <c:pt idx="2369">
                <c:v>-208.19169999999997</c:v>
              </c:pt>
              <c:pt idx="2370">
                <c:v>-208.17248999999998</c:v>
              </c:pt>
              <c:pt idx="2371">
                <c:v>-208.15338</c:v>
              </c:pt>
              <c:pt idx="2372">
                <c:v>-208.13406000000001</c:v>
              </c:pt>
              <c:pt idx="2373">
                <c:v>-208.11495000000002</c:v>
              </c:pt>
              <c:pt idx="2374">
                <c:v>-208.09573999999998</c:v>
              </c:pt>
              <c:pt idx="2375">
                <c:v>-208.07662999999999</c:v>
              </c:pt>
              <c:pt idx="2376">
                <c:v>-208.05741</c:v>
              </c:pt>
              <c:pt idx="2377">
                <c:v>-208.03830000000002</c:v>
              </c:pt>
              <c:pt idx="2378">
                <c:v>-208.01919000000004</c:v>
              </c:pt>
              <c:pt idx="2379">
                <c:v>-207.99986999999999</c:v>
              </c:pt>
              <c:pt idx="2380">
                <c:v>-207.98076</c:v>
              </c:pt>
              <c:pt idx="2381">
                <c:v>-207.96155000000002</c:v>
              </c:pt>
              <c:pt idx="2382">
                <c:v>-207.94254000000001</c:v>
              </c:pt>
              <c:pt idx="2383">
                <c:v>-207.92331999999999</c:v>
              </c:pt>
              <c:pt idx="2384">
                <c:v>-207.90421000000001</c:v>
              </c:pt>
              <c:pt idx="2385">
                <c:v>-207.88499999999999</c:v>
              </c:pt>
              <c:pt idx="2386">
                <c:v>-207.86588</c:v>
              </c:pt>
              <c:pt idx="2387">
                <c:v>-207.84656999999999</c:v>
              </c:pt>
              <c:pt idx="2388">
                <c:v>-207.82745999999997</c:v>
              </c:pt>
              <c:pt idx="2389">
                <c:v>-207.80824999999999</c:v>
              </c:pt>
              <c:pt idx="2390">
                <c:v>-207.78913</c:v>
              </c:pt>
              <c:pt idx="2391">
                <c:v>-207.76992000000001</c:v>
              </c:pt>
              <c:pt idx="2392">
                <c:v>-207.75081</c:v>
              </c:pt>
              <c:pt idx="2393">
                <c:v>-207.73159999999999</c:v>
              </c:pt>
              <c:pt idx="2394">
                <c:v>-207.71239</c:v>
              </c:pt>
              <c:pt idx="2395">
                <c:v>-207.69317000000001</c:v>
              </c:pt>
              <c:pt idx="2396">
                <c:v>-207.67406</c:v>
              </c:pt>
              <c:pt idx="2397">
                <c:v>-207.65484999999998</c:v>
              </c:pt>
              <c:pt idx="2398">
                <c:v>-207.63584</c:v>
              </c:pt>
              <c:pt idx="2399">
                <c:v>-207.61662000000001</c:v>
              </c:pt>
              <c:pt idx="2400">
                <c:v>-207.59751</c:v>
              </c:pt>
              <c:pt idx="2401">
                <c:v>-207.57839999999999</c:v>
              </c:pt>
              <c:pt idx="2402">
                <c:v>-207.55909</c:v>
              </c:pt>
              <c:pt idx="2403">
                <c:v>-207.53998000000001</c:v>
              </c:pt>
              <c:pt idx="2404">
                <c:v>-207.52076</c:v>
              </c:pt>
              <c:pt idx="2405">
                <c:v>-207.50164999999998</c:v>
              </c:pt>
              <c:pt idx="2406">
                <c:v>-207.48244</c:v>
              </c:pt>
              <c:pt idx="2407">
                <c:v>-207.46332999999998</c:v>
              </c:pt>
              <c:pt idx="2408">
                <c:v>-207.44412</c:v>
              </c:pt>
              <c:pt idx="2409">
                <c:v>-207.42490999999998</c:v>
              </c:pt>
              <c:pt idx="2410">
                <c:v>-207.40568999999999</c:v>
              </c:pt>
              <c:pt idx="2411">
                <c:v>-207.38658000000001</c:v>
              </c:pt>
              <c:pt idx="2412">
                <c:v>-207.36737000000002</c:v>
              </c:pt>
              <c:pt idx="2413">
                <c:v>-207.34825999999998</c:v>
              </c:pt>
              <c:pt idx="2414">
                <c:v>-207.32905</c:v>
              </c:pt>
              <c:pt idx="2415">
                <c:v>-207.30993999999998</c:v>
              </c:pt>
              <c:pt idx="2416">
                <c:v>-207.29072000000002</c:v>
              </c:pt>
              <c:pt idx="2417">
                <c:v>-207.27161000000001</c:v>
              </c:pt>
              <c:pt idx="2418">
                <c:v>-207.25239999999999</c:v>
              </c:pt>
              <c:pt idx="2419">
                <c:v>-207.23328999999998</c:v>
              </c:pt>
              <c:pt idx="2420">
                <c:v>-207.21408</c:v>
              </c:pt>
              <c:pt idx="2421">
                <c:v>-207.19497000000001</c:v>
              </c:pt>
              <c:pt idx="2422">
                <c:v>-207.17576</c:v>
              </c:pt>
              <c:pt idx="2423">
                <c:v>-207.15664999999998</c:v>
              </c:pt>
              <c:pt idx="2424">
                <c:v>-207.13733000000002</c:v>
              </c:pt>
              <c:pt idx="2425">
                <c:v>-207.11822000000001</c:v>
              </c:pt>
              <c:pt idx="2426">
                <c:v>-207.09911</c:v>
              </c:pt>
              <c:pt idx="2427">
                <c:v>-207.07990000000001</c:v>
              </c:pt>
              <c:pt idx="2428">
                <c:v>-207.06079</c:v>
              </c:pt>
              <c:pt idx="2429">
                <c:v>-207.04158000000001</c:v>
              </c:pt>
              <c:pt idx="2430">
                <c:v>-207.02247</c:v>
              </c:pt>
              <c:pt idx="2431">
                <c:v>-207.00315999999998</c:v>
              </c:pt>
              <c:pt idx="2432">
                <c:v>-206.98405</c:v>
              </c:pt>
              <c:pt idx="2433">
                <c:v>-206.96484000000001</c:v>
              </c:pt>
              <c:pt idx="2434">
                <c:v>-206.94573000000003</c:v>
              </c:pt>
              <c:pt idx="2435">
                <c:v>-206.92660999999998</c:v>
              </c:pt>
              <c:pt idx="2436">
                <c:v>-206.9075</c:v>
              </c:pt>
              <c:pt idx="2437">
                <c:v>-206.88829000000001</c:v>
              </c:pt>
              <c:pt idx="2438">
                <c:v>-206.86918000000003</c:v>
              </c:pt>
              <c:pt idx="2439">
                <c:v>-206.84987000000001</c:v>
              </c:pt>
              <c:pt idx="2440">
                <c:v>-206.83076</c:v>
              </c:pt>
              <c:pt idx="2441">
                <c:v>-206.81154999999998</c:v>
              </c:pt>
              <c:pt idx="2442">
                <c:v>-206.79244000000003</c:v>
              </c:pt>
              <c:pt idx="2443">
                <c:v>-206.77323000000001</c:v>
              </c:pt>
              <c:pt idx="2444">
                <c:v>-206.75412</c:v>
              </c:pt>
              <c:pt idx="2445">
                <c:v>-206.73490999999999</c:v>
              </c:pt>
              <c:pt idx="2446">
                <c:v>-206.71570000000003</c:v>
              </c:pt>
              <c:pt idx="2447">
                <c:v>-206.69648999999998</c:v>
              </c:pt>
              <c:pt idx="2448">
                <c:v>-206.67738</c:v>
              </c:pt>
              <c:pt idx="2449">
                <c:v>-206.65816999999998</c:v>
              </c:pt>
              <c:pt idx="2450">
                <c:v>-206.63906</c:v>
              </c:pt>
              <c:pt idx="2451">
                <c:v>-206.61985000000001</c:v>
              </c:pt>
              <c:pt idx="2452">
                <c:v>-206.60073999999997</c:v>
              </c:pt>
              <c:pt idx="2453">
                <c:v>-206.58152999999999</c:v>
              </c:pt>
              <c:pt idx="2454">
                <c:v>-206.56232</c:v>
              </c:pt>
              <c:pt idx="2455">
                <c:v>-206.54321000000002</c:v>
              </c:pt>
              <c:pt idx="2456">
                <c:v>-206.524</c:v>
              </c:pt>
              <c:pt idx="2457">
                <c:v>-206.50488999999999</c:v>
              </c:pt>
              <c:pt idx="2458">
                <c:v>-206.48578000000001</c:v>
              </c:pt>
              <c:pt idx="2459">
                <c:v>-206.46666999999999</c:v>
              </c:pt>
              <c:pt idx="2460">
                <c:v>-206.44745999999998</c:v>
              </c:pt>
              <c:pt idx="2461">
                <c:v>-206.42824999999999</c:v>
              </c:pt>
              <c:pt idx="2462">
                <c:v>-206.40903999999998</c:v>
              </c:pt>
              <c:pt idx="2463">
                <c:v>-206.38992999999999</c:v>
              </c:pt>
              <c:pt idx="2464">
                <c:v>-206.37072000000001</c:v>
              </c:pt>
              <c:pt idx="2465">
                <c:v>-206.35160999999999</c:v>
              </c:pt>
              <c:pt idx="2466">
                <c:v>-206.33240000000001</c:v>
              </c:pt>
              <c:pt idx="2467">
                <c:v>-206.31328999999999</c:v>
              </c:pt>
              <c:pt idx="2468">
                <c:v>-206.29398000000003</c:v>
              </c:pt>
              <c:pt idx="2469">
                <c:v>-206.27487000000002</c:v>
              </c:pt>
              <c:pt idx="2470">
                <c:v>-206.25565999999998</c:v>
              </c:pt>
              <c:pt idx="2471">
                <c:v>-206.23654999999999</c:v>
              </c:pt>
              <c:pt idx="2472">
                <c:v>-206.21734000000001</c:v>
              </c:pt>
              <c:pt idx="2473">
                <c:v>-206.19824</c:v>
              </c:pt>
              <c:pt idx="2474">
                <c:v>-206.17902999999998</c:v>
              </c:pt>
              <c:pt idx="2475">
                <c:v>-206.15992</c:v>
              </c:pt>
              <c:pt idx="2476">
                <c:v>-206.14061000000001</c:v>
              </c:pt>
              <c:pt idx="2477">
                <c:v>-206.1215</c:v>
              </c:pt>
              <c:pt idx="2478">
                <c:v>-206.10228999999998</c:v>
              </c:pt>
              <c:pt idx="2479">
                <c:v>-206.08318</c:v>
              </c:pt>
              <c:pt idx="2480">
                <c:v>-206.06397000000001</c:v>
              </c:pt>
              <c:pt idx="2481">
                <c:v>-206.04486000000003</c:v>
              </c:pt>
              <c:pt idx="2482">
                <c:v>-206.02575000000002</c:v>
              </c:pt>
              <c:pt idx="2483">
                <c:v>-206.00645</c:v>
              </c:pt>
              <c:pt idx="2484">
                <c:v>-205.98743999999999</c:v>
              </c:pt>
              <c:pt idx="2485">
                <c:v>-205.96823000000001</c:v>
              </c:pt>
              <c:pt idx="2486">
                <c:v>-205.94911999999999</c:v>
              </c:pt>
              <c:pt idx="2487">
                <c:v>-205.92990999999998</c:v>
              </c:pt>
              <c:pt idx="2488">
                <c:v>-205.91079999999999</c:v>
              </c:pt>
              <c:pt idx="2489">
                <c:v>-205.89159000000001</c:v>
              </c:pt>
              <c:pt idx="2490">
                <c:v>-205.87238000000002</c:v>
              </c:pt>
              <c:pt idx="2491">
                <c:v>-205.85318000000001</c:v>
              </c:pt>
              <c:pt idx="2492">
                <c:v>-205.83407</c:v>
              </c:pt>
              <c:pt idx="2493">
                <c:v>-205.81485999999998</c:v>
              </c:pt>
              <c:pt idx="2494">
                <c:v>-205.79575000000003</c:v>
              </c:pt>
              <c:pt idx="2495">
                <c:v>-205.77654000000001</c:v>
              </c:pt>
              <c:pt idx="2496">
                <c:v>-205.75743</c:v>
              </c:pt>
              <c:pt idx="2497">
                <c:v>-205.73821999999998</c:v>
              </c:pt>
              <c:pt idx="2498">
                <c:v>-205.71902000000003</c:v>
              </c:pt>
              <c:pt idx="2499">
                <c:v>-205.69981000000001</c:v>
              </c:pt>
              <c:pt idx="2500">
                <c:v>-205.68069999999997</c:v>
              </c:pt>
              <c:pt idx="2501">
                <c:v>-205.66148999999999</c:v>
              </c:pt>
              <c:pt idx="2502">
                <c:v>-205.64238</c:v>
              </c:pt>
              <c:pt idx="2503">
                <c:v>-205.62318000000002</c:v>
              </c:pt>
              <c:pt idx="2504">
                <c:v>-205.60406999999998</c:v>
              </c:pt>
              <c:pt idx="2505">
                <c:v>-205.58475999999999</c:v>
              </c:pt>
              <c:pt idx="2506">
                <c:v>-205.56564999999998</c:v>
              </c:pt>
              <c:pt idx="2507">
                <c:v>-205.54643999999999</c:v>
              </c:pt>
              <c:pt idx="2508">
                <c:v>-205.52733999999998</c:v>
              </c:pt>
              <c:pt idx="2509">
                <c:v>-205.50812999999999</c:v>
              </c:pt>
              <c:pt idx="2510">
                <c:v>-205.48902000000001</c:v>
              </c:pt>
              <c:pt idx="2511">
                <c:v>-205.46981</c:v>
              </c:pt>
              <c:pt idx="2512">
                <c:v>-205.45070000000001</c:v>
              </c:pt>
              <c:pt idx="2513">
                <c:v>-205.4314</c:v>
              </c:pt>
              <c:pt idx="2514">
                <c:v>-205.41228999999998</c:v>
              </c:pt>
              <c:pt idx="2515">
                <c:v>-205.39308</c:v>
              </c:pt>
              <c:pt idx="2516">
                <c:v>-205.37397000000001</c:v>
              </c:pt>
              <c:pt idx="2517">
                <c:v>-205.35476999999997</c:v>
              </c:pt>
              <c:pt idx="2518">
                <c:v>-205.33575999999999</c:v>
              </c:pt>
              <c:pt idx="2519">
                <c:v>-205.31664999999998</c:v>
              </c:pt>
              <c:pt idx="2520">
                <c:v>-205.29734000000002</c:v>
              </c:pt>
              <c:pt idx="2521">
                <c:v>-205.27823999999998</c:v>
              </c:pt>
              <c:pt idx="2522">
                <c:v>-205.25903</c:v>
              </c:pt>
              <c:pt idx="2523">
                <c:v>-205.23991999999998</c:v>
              </c:pt>
              <c:pt idx="2524">
                <c:v>-205.22071000000003</c:v>
              </c:pt>
              <c:pt idx="2525">
                <c:v>-205.20161000000002</c:v>
              </c:pt>
              <c:pt idx="2526">
                <c:v>-205.18239999999997</c:v>
              </c:pt>
              <c:pt idx="2527">
                <c:v>-205.16318999999999</c:v>
              </c:pt>
              <c:pt idx="2528">
                <c:v>-205.14399</c:v>
              </c:pt>
              <c:pt idx="2529">
                <c:v>-205.12488000000002</c:v>
              </c:pt>
              <c:pt idx="2530">
                <c:v>-205.10567000000003</c:v>
              </c:pt>
              <c:pt idx="2531">
                <c:v>-205.08655999999999</c:v>
              </c:pt>
              <c:pt idx="2532">
                <c:v>-205.06736000000001</c:v>
              </c:pt>
              <c:pt idx="2533">
                <c:v>-205.04825</c:v>
              </c:pt>
              <c:pt idx="2534">
                <c:v>-205.02904000000001</c:v>
              </c:pt>
              <c:pt idx="2535">
                <c:v>-205.00984</c:v>
              </c:pt>
              <c:pt idx="2536">
                <c:v>-204.99063000000001</c:v>
              </c:pt>
              <c:pt idx="2537">
                <c:v>-204.97152</c:v>
              </c:pt>
              <c:pt idx="2538">
                <c:v>-204.95232000000001</c:v>
              </c:pt>
              <c:pt idx="2539">
                <c:v>-204.93320999999997</c:v>
              </c:pt>
              <c:pt idx="2540">
                <c:v>-204.91399999999999</c:v>
              </c:pt>
              <c:pt idx="2541">
                <c:v>-204.89490000000001</c:v>
              </c:pt>
              <c:pt idx="2542">
                <c:v>-204.87559000000002</c:v>
              </c:pt>
              <c:pt idx="2543">
                <c:v>-204.85647999999998</c:v>
              </c:pt>
              <c:pt idx="2544">
                <c:v>-204.83727999999999</c:v>
              </c:pt>
              <c:pt idx="2545">
                <c:v>-204.81816999999998</c:v>
              </c:pt>
              <c:pt idx="2546">
                <c:v>-204.79896000000002</c:v>
              </c:pt>
              <c:pt idx="2547">
                <c:v>-204.77985999999999</c:v>
              </c:pt>
              <c:pt idx="2548">
                <c:v>-204.76065</c:v>
              </c:pt>
              <c:pt idx="2549">
                <c:v>-204.74153999999999</c:v>
              </c:pt>
              <c:pt idx="2550">
                <c:v>-204.72224</c:v>
              </c:pt>
              <c:pt idx="2551">
                <c:v>-204.70313000000002</c:v>
              </c:pt>
              <c:pt idx="2552">
                <c:v>-204.68392</c:v>
              </c:pt>
              <c:pt idx="2553">
                <c:v>-204.66481999999999</c:v>
              </c:pt>
              <c:pt idx="2554">
                <c:v>-204.64561</c:v>
              </c:pt>
              <c:pt idx="2555">
                <c:v>-204.62651000000002</c:v>
              </c:pt>
              <c:pt idx="2556">
                <c:v>-204.60730000000001</c:v>
              </c:pt>
              <c:pt idx="2557">
                <c:v>-204.58808999999999</c:v>
              </c:pt>
              <c:pt idx="2558">
                <c:v>-204.56888999999998</c:v>
              </c:pt>
              <c:pt idx="2559">
                <c:v>-204.54978</c:v>
              </c:pt>
              <c:pt idx="2560">
                <c:v>-204.53058000000001</c:v>
              </c:pt>
              <c:pt idx="2561">
                <c:v>-204.50501</c:v>
              </c:pt>
              <c:pt idx="2562">
                <c:v>-204.46976000000001</c:v>
              </c:pt>
              <c:pt idx="2563">
                <c:v>-204.43451000000002</c:v>
              </c:pt>
              <c:pt idx="2564">
                <c:v>-204.39915999999999</c:v>
              </c:pt>
              <c:pt idx="2565">
                <c:v>-204.36401000000001</c:v>
              </c:pt>
              <c:pt idx="2566">
                <c:v>-204.32875999999999</c:v>
              </c:pt>
              <c:pt idx="2567">
                <c:v>-204.29351</c:v>
              </c:pt>
              <c:pt idx="2568">
                <c:v>-204.25816</c:v>
              </c:pt>
              <c:pt idx="2569">
                <c:v>-204.22291999999999</c:v>
              </c:pt>
              <c:pt idx="2570">
                <c:v>-204.18777</c:v>
              </c:pt>
              <c:pt idx="2571">
                <c:v>-204.15252000000001</c:v>
              </c:pt>
              <c:pt idx="2572">
                <c:v>-204.11726999999999</c:v>
              </c:pt>
              <c:pt idx="2573">
                <c:v>-204.08191999999997</c:v>
              </c:pt>
              <c:pt idx="2574">
                <c:v>-204.04667000000001</c:v>
              </c:pt>
              <c:pt idx="2575">
                <c:v>-204.01151999999999</c:v>
              </c:pt>
              <c:pt idx="2576">
                <c:v>-203.97627999999997</c:v>
              </c:pt>
              <c:pt idx="2577">
                <c:v>-203.94093000000001</c:v>
              </c:pt>
              <c:pt idx="2578">
                <c:v>-203.90567999999999</c:v>
              </c:pt>
              <c:pt idx="2579">
                <c:v>-203.87033</c:v>
              </c:pt>
              <c:pt idx="2580">
                <c:v>-203.83528000000001</c:v>
              </c:pt>
              <c:pt idx="2581">
                <c:v>-203.80004000000002</c:v>
              </c:pt>
              <c:pt idx="2582">
                <c:v>-203.76469</c:v>
              </c:pt>
              <c:pt idx="2583">
                <c:v>-203.72944000000001</c:v>
              </c:pt>
              <c:pt idx="2584">
                <c:v>-203.69419000000002</c:v>
              </c:pt>
              <c:pt idx="2585">
                <c:v>-203.65844999999999</c:v>
              </c:pt>
              <c:pt idx="2586">
                <c:v>-203.60987</c:v>
              </c:pt>
              <c:pt idx="2587">
                <c:v>-203.56139999999999</c:v>
              </c:pt>
              <c:pt idx="2588">
                <c:v>-203.51272</c:v>
              </c:pt>
              <c:pt idx="2589">
                <c:v>-203.46424000000002</c:v>
              </c:pt>
              <c:pt idx="2590">
                <c:v>-203.41566999999998</c:v>
              </c:pt>
              <c:pt idx="2591">
                <c:v>-203.36729000000003</c:v>
              </c:pt>
              <c:pt idx="2592">
                <c:v>-203.31861000000001</c:v>
              </c:pt>
              <c:pt idx="2593">
                <c:v>-203.27004000000002</c:v>
              </c:pt>
              <c:pt idx="2594">
                <c:v>-203.22155999999998</c:v>
              </c:pt>
              <c:pt idx="2595">
                <c:v>-203.17298</c:v>
              </c:pt>
              <c:pt idx="2596">
                <c:v>-203.12440999999998</c:v>
              </c:pt>
              <c:pt idx="2597">
                <c:v>-203.07583000000002</c:v>
              </c:pt>
              <c:pt idx="2598">
                <c:v>-203.02735000000001</c:v>
              </c:pt>
              <c:pt idx="2599">
                <c:v>-202.97878</c:v>
              </c:pt>
              <c:pt idx="2600">
                <c:v>-202.93020000000001</c:v>
              </c:pt>
              <c:pt idx="2601">
                <c:v>-202.88163</c:v>
              </c:pt>
              <c:pt idx="2602">
                <c:v>-202.83314999999999</c:v>
              </c:pt>
              <c:pt idx="2603">
                <c:v>-202.78458000000001</c:v>
              </c:pt>
              <c:pt idx="2604">
                <c:v>-202.73590000000002</c:v>
              </c:pt>
              <c:pt idx="2605">
                <c:v>-202.67504000000002</c:v>
              </c:pt>
              <c:pt idx="2606">
                <c:v>-202.60885000000002</c:v>
              </c:pt>
              <c:pt idx="2607">
                <c:v>-202.54276000000002</c:v>
              </c:pt>
              <c:pt idx="2608">
                <c:v>-202.47656999999998</c:v>
              </c:pt>
              <c:pt idx="2609">
                <c:v>-202.41047999999998</c:v>
              </c:pt>
              <c:pt idx="2610">
                <c:v>-202.34438999999998</c:v>
              </c:pt>
              <c:pt idx="2611">
                <c:v>-202.2783</c:v>
              </c:pt>
              <c:pt idx="2612">
                <c:v>-202.21211</c:v>
              </c:pt>
              <c:pt idx="2613">
                <c:v>-202.14603</c:v>
              </c:pt>
              <c:pt idx="2614">
                <c:v>-202.07983999999999</c:v>
              </c:pt>
              <c:pt idx="2615">
                <c:v>-202.01384999999999</c:v>
              </c:pt>
              <c:pt idx="2616">
                <c:v>-201.94765999999998</c:v>
              </c:pt>
              <c:pt idx="2617">
                <c:v>-201.88168000000002</c:v>
              </c:pt>
              <c:pt idx="2618">
                <c:v>-201.81549000000001</c:v>
              </c:pt>
              <c:pt idx="2619">
                <c:v>-201.73936</c:v>
              </c:pt>
              <c:pt idx="2620">
                <c:v>-201.65815999999998</c:v>
              </c:pt>
              <c:pt idx="2621">
                <c:v>-201.57706000000002</c:v>
              </c:pt>
              <c:pt idx="2622">
                <c:v>-201.49575000000002</c:v>
              </c:pt>
              <c:pt idx="2623">
                <c:v>-201.41464999999999</c:v>
              </c:pt>
              <c:pt idx="2624">
                <c:v>-201.33344999999997</c:v>
              </c:pt>
              <c:pt idx="2625">
                <c:v>-201.25225</c:v>
              </c:pt>
              <c:pt idx="2626">
                <c:v>-201.17115000000001</c:v>
              </c:pt>
              <c:pt idx="2627">
                <c:v>-201.08995000000002</c:v>
              </c:pt>
              <c:pt idx="2628">
                <c:v>-201.00885</c:v>
              </c:pt>
              <c:pt idx="2629">
                <c:v>-200.92766</c:v>
              </c:pt>
              <c:pt idx="2630">
                <c:v>-200.84646000000001</c:v>
              </c:pt>
              <c:pt idx="2631">
                <c:v>-200.76535999999999</c:v>
              </c:pt>
              <c:pt idx="2632">
                <c:v>-200.68416000000002</c:v>
              </c:pt>
              <c:pt idx="2633">
                <c:v>-200.60296</c:v>
              </c:pt>
              <c:pt idx="2634">
                <c:v>-200.52186</c:v>
              </c:pt>
              <c:pt idx="2635">
                <c:v>-200.44066999999998</c:v>
              </c:pt>
              <c:pt idx="2636">
                <c:v>-200.35956999999999</c:v>
              </c:pt>
              <c:pt idx="2637">
                <c:v>-200.27837</c:v>
              </c:pt>
              <c:pt idx="2638">
                <c:v>-200.19718</c:v>
              </c:pt>
              <c:pt idx="2639">
                <c:v>-200.11608000000001</c:v>
              </c:pt>
              <c:pt idx="2640">
                <c:v>-200.03478000000001</c:v>
              </c:pt>
              <c:pt idx="2641">
                <c:v>-199.95368999999999</c:v>
              </c:pt>
              <c:pt idx="2642">
                <c:v>-199.87249</c:v>
              </c:pt>
              <c:pt idx="2643">
                <c:v>-199.79129999999998</c:v>
              </c:pt>
              <c:pt idx="2644">
                <c:v>-199.71019999999999</c:v>
              </c:pt>
              <c:pt idx="2645">
                <c:v>-199.62900999999999</c:v>
              </c:pt>
              <c:pt idx="2646">
                <c:v>-199.54791</c:v>
              </c:pt>
              <c:pt idx="2647">
                <c:v>-199.46672000000001</c:v>
              </c:pt>
              <c:pt idx="2648">
                <c:v>-199.38553000000002</c:v>
              </c:pt>
              <c:pt idx="2649">
                <c:v>-199.30443000000002</c:v>
              </c:pt>
              <c:pt idx="2650">
                <c:v>-199.22324</c:v>
              </c:pt>
              <c:pt idx="2651">
                <c:v>-199.14194999999998</c:v>
              </c:pt>
              <c:pt idx="2652">
                <c:v>-199.06085000000002</c:v>
              </c:pt>
              <c:pt idx="2653">
                <c:v>-198.97955999999999</c:v>
              </c:pt>
              <c:pt idx="2654">
                <c:v>-198.89847</c:v>
              </c:pt>
              <c:pt idx="2655">
                <c:v>-198.81727999999998</c:v>
              </c:pt>
              <c:pt idx="2656">
                <c:v>-198.73608000000002</c:v>
              </c:pt>
              <c:pt idx="2657">
                <c:v>-198.65499</c:v>
              </c:pt>
              <c:pt idx="2658">
                <c:v>-198.57380000000001</c:v>
              </c:pt>
              <c:pt idx="2659">
                <c:v>-198.49270999999999</c:v>
              </c:pt>
              <c:pt idx="2660">
                <c:v>-198.41142000000002</c:v>
              </c:pt>
              <c:pt idx="2661">
                <c:v>-198.33033</c:v>
              </c:pt>
              <c:pt idx="2662">
                <c:v>-198.24914000000001</c:v>
              </c:pt>
              <c:pt idx="2663">
                <c:v>-198.16794999999999</c:v>
              </c:pt>
              <c:pt idx="2664">
                <c:v>-198.08686</c:v>
              </c:pt>
              <c:pt idx="2665">
                <c:v>-198.00567000000001</c:v>
              </c:pt>
              <c:pt idx="2666">
                <c:v>-197.92457999999999</c:v>
              </c:pt>
              <c:pt idx="2667">
                <c:v>-197.84339</c:v>
              </c:pt>
              <c:pt idx="2668">
                <c:v>-197.76211000000001</c:v>
              </c:pt>
              <c:pt idx="2669">
                <c:v>-197.68102000000002</c:v>
              </c:pt>
              <c:pt idx="2670">
                <c:v>-197.59983</c:v>
              </c:pt>
              <c:pt idx="2671">
                <c:v>-197.51864</c:v>
              </c:pt>
              <c:pt idx="2672">
                <c:v>-197.43746000000002</c:v>
              </c:pt>
              <c:pt idx="2673">
                <c:v>-197.35627000000002</c:v>
              </c:pt>
              <c:pt idx="2674">
                <c:v>-197.27518000000001</c:v>
              </c:pt>
              <c:pt idx="2675">
                <c:v>-197.19389000000001</c:v>
              </c:pt>
              <c:pt idx="2676">
                <c:v>-197.11281000000002</c:v>
              </c:pt>
              <c:pt idx="2677">
                <c:v>-197.03162</c:v>
              </c:pt>
              <c:pt idx="2678">
                <c:v>-196.95043999999999</c:v>
              </c:pt>
              <c:pt idx="2679">
                <c:v>-196.86287000000002</c:v>
              </c:pt>
              <c:pt idx="2680">
                <c:v>-196.77397999999999</c:v>
              </c:pt>
              <c:pt idx="2681">
                <c:v>-196.67984999999999</c:v>
              </c:pt>
              <c:pt idx="2682">
                <c:v>-196.58310999999998</c:v>
              </c:pt>
              <c:pt idx="2683">
                <c:v>-196.48616999999999</c:v>
              </c:pt>
              <c:pt idx="2684">
                <c:v>-196.38932</c:v>
              </c:pt>
              <c:pt idx="2685">
                <c:v>-196.29248999999999</c:v>
              </c:pt>
              <c:pt idx="2686">
                <c:v>-196.19564</c:v>
              </c:pt>
              <c:pt idx="2687">
                <c:v>-196.09891999999999</c:v>
              </c:pt>
              <c:pt idx="2688">
                <c:v>-196.00196999999997</c:v>
              </c:pt>
              <c:pt idx="2689">
                <c:v>-195.90514000000002</c:v>
              </c:pt>
              <c:pt idx="2690">
                <c:v>-195.8083</c:v>
              </c:pt>
              <c:pt idx="2691">
                <c:v>-195.71146999999999</c:v>
              </c:pt>
              <c:pt idx="2692">
                <c:v>-195.61452</c:v>
              </c:pt>
              <c:pt idx="2693">
                <c:v>-195.51769999999999</c:v>
              </c:pt>
              <c:pt idx="2694">
                <c:v>-195.42085</c:v>
              </c:pt>
              <c:pt idx="2695">
                <c:v>-195.32402999999999</c:v>
              </c:pt>
              <c:pt idx="2696">
                <c:v>-195.22709</c:v>
              </c:pt>
              <c:pt idx="2697">
                <c:v>-195.13036</c:v>
              </c:pt>
              <c:pt idx="2698">
                <c:v>-195.03352000000001</c:v>
              </c:pt>
              <c:pt idx="2699">
                <c:v>-194.9367</c:v>
              </c:pt>
              <c:pt idx="2700">
                <c:v>-194.83975000000001</c:v>
              </c:pt>
              <c:pt idx="2701">
                <c:v>-194.74293</c:v>
              </c:pt>
              <c:pt idx="2702">
                <c:v>-194.64357000000001</c:v>
              </c:pt>
              <c:pt idx="2703">
                <c:v>-194.54000000000002</c:v>
              </c:pt>
              <c:pt idx="2704">
                <c:v>-194.43644</c:v>
              </c:pt>
              <c:pt idx="2705">
                <c:v>-194.32659000000001</c:v>
              </c:pt>
              <c:pt idx="2706">
                <c:v>-194.21621999999999</c:v>
              </c:pt>
              <c:pt idx="2707">
                <c:v>-194.10576</c:v>
              </c:pt>
              <c:pt idx="2708">
                <c:v>-193.99539000000001</c:v>
              </c:pt>
              <c:pt idx="2709">
                <c:v>-193.88503</c:v>
              </c:pt>
              <c:pt idx="2710">
                <c:v>-193.77456999999998</c:v>
              </c:pt>
              <c:pt idx="2711">
                <c:v>-193.66429999999997</c:v>
              </c:pt>
              <c:pt idx="2712">
                <c:v>-193.55384000000001</c:v>
              </c:pt>
              <c:pt idx="2713">
                <c:v>-193.44348000000002</c:v>
              </c:pt>
              <c:pt idx="2714">
                <c:v>-193.33322000000001</c:v>
              </c:pt>
              <c:pt idx="2715">
                <c:v>-193.22275999999999</c:v>
              </c:pt>
              <c:pt idx="2716">
                <c:v>-193.11239999999998</c:v>
              </c:pt>
              <c:pt idx="2717">
                <c:v>-193.00193999999999</c:v>
              </c:pt>
              <c:pt idx="2718">
                <c:v>-192.89157999999998</c:v>
              </c:pt>
              <c:pt idx="2719">
                <c:v>-192.78122000000002</c:v>
              </c:pt>
              <c:pt idx="2720">
                <c:v>-192.67076</c:v>
              </c:pt>
              <c:pt idx="2721">
                <c:v>-192.56059999999997</c:v>
              </c:pt>
              <c:pt idx="2722">
                <c:v>-192.45013999999998</c:v>
              </c:pt>
              <c:pt idx="2723">
                <c:v>-192.33967999999999</c:v>
              </c:pt>
              <c:pt idx="2724">
                <c:v>-192.22943000000001</c:v>
              </c:pt>
              <c:pt idx="2725">
                <c:v>-192.11896999999999</c:v>
              </c:pt>
              <c:pt idx="2726">
                <c:v>-192.00851</c:v>
              </c:pt>
              <c:pt idx="2727">
                <c:v>-191.89825999999999</c:v>
              </c:pt>
              <c:pt idx="2728">
                <c:v>-191.7878</c:v>
              </c:pt>
              <c:pt idx="2729">
                <c:v>-191.67745000000002</c:v>
              </c:pt>
              <c:pt idx="2730">
                <c:v>-191.56719000000001</c:v>
              </c:pt>
              <c:pt idx="2731">
                <c:v>-191.45674000000002</c:v>
              </c:pt>
              <c:pt idx="2732">
                <c:v>-191.34627999999998</c:v>
              </c:pt>
              <c:pt idx="2733">
                <c:v>-191.23593</c:v>
              </c:pt>
              <c:pt idx="2734">
                <c:v>-191.12558000000001</c:v>
              </c:pt>
              <c:pt idx="2735">
                <c:v>-191.01513</c:v>
              </c:pt>
              <c:pt idx="2736">
                <c:v>-190.90476999999998</c:v>
              </c:pt>
              <c:pt idx="2737">
                <c:v>-190.79451999999998</c:v>
              </c:pt>
              <c:pt idx="2738">
                <c:v>-190.68406999999999</c:v>
              </c:pt>
              <c:pt idx="2739">
                <c:v>-190.57371999999998</c:v>
              </c:pt>
              <c:pt idx="2740">
                <c:v>-190.46326999999999</c:v>
              </c:pt>
              <c:pt idx="2741">
                <c:v>-190.35291999999998</c:v>
              </c:pt>
              <c:pt idx="2742">
                <c:v>-190.24257</c:v>
              </c:pt>
              <c:pt idx="2743">
                <c:v>-190.13211999999999</c:v>
              </c:pt>
              <c:pt idx="2744">
                <c:v>-190.02187000000001</c:v>
              </c:pt>
              <c:pt idx="2745">
                <c:v>-189.91143</c:v>
              </c:pt>
              <c:pt idx="2746">
                <c:v>-189.80108000000001</c:v>
              </c:pt>
              <c:pt idx="2747">
                <c:v>-189.69063</c:v>
              </c:pt>
              <c:pt idx="2748">
                <c:v>-189.58027999999999</c:v>
              </c:pt>
              <c:pt idx="2749">
                <c:v>-189.46994000000001</c:v>
              </c:pt>
              <c:pt idx="2750">
                <c:v>-189.35948999999999</c:v>
              </c:pt>
              <c:pt idx="2751">
                <c:v>-189.24914999999999</c:v>
              </c:pt>
              <c:pt idx="2752">
                <c:v>-189.1388</c:v>
              </c:pt>
              <c:pt idx="2753">
                <c:v>-189.02846</c:v>
              </c:pt>
              <c:pt idx="2754">
                <c:v>-188.91800999999998</c:v>
              </c:pt>
              <c:pt idx="2755">
                <c:v>-188.80766999999997</c:v>
              </c:pt>
              <c:pt idx="2756">
                <c:v>-188.69722999999999</c:v>
              </c:pt>
              <c:pt idx="2757">
                <c:v>-188.58688000000001</c:v>
              </c:pt>
              <c:pt idx="2758">
                <c:v>-188.47644</c:v>
              </c:pt>
              <c:pt idx="2759">
                <c:v>-188.36619999999999</c:v>
              </c:pt>
              <c:pt idx="2760">
                <c:v>-188.25575999999998</c:v>
              </c:pt>
              <c:pt idx="2761">
                <c:v>-188.14542</c:v>
              </c:pt>
              <c:pt idx="2762">
                <c:v>-188.03507999999999</c:v>
              </c:pt>
              <c:pt idx="2763">
                <c:v>-187.92463999999998</c:v>
              </c:pt>
              <c:pt idx="2764">
                <c:v>-187.8142</c:v>
              </c:pt>
              <c:pt idx="2765">
                <c:v>-187.70376000000002</c:v>
              </c:pt>
              <c:pt idx="2766">
                <c:v>-187.59361999999999</c:v>
              </c:pt>
              <c:pt idx="2767">
                <c:v>-187.48318</c:v>
              </c:pt>
              <c:pt idx="2768">
                <c:v>-187.37273999999999</c:v>
              </c:pt>
              <c:pt idx="2769">
                <c:v>-187.26230000000001</c:v>
              </c:pt>
              <c:pt idx="2770">
                <c:v>-187.15197000000001</c:v>
              </c:pt>
              <c:pt idx="2771">
                <c:v>-187.04163000000003</c:v>
              </c:pt>
              <c:pt idx="2772">
                <c:v>-186.93128999999999</c:v>
              </c:pt>
              <c:pt idx="2773">
                <c:v>-186.82086000000001</c:v>
              </c:pt>
              <c:pt idx="2774">
                <c:v>-186.71052</c:v>
              </c:pt>
              <c:pt idx="2775">
                <c:v>-186.60008999999999</c:v>
              </c:pt>
              <c:pt idx="2776">
                <c:v>-186.48965000000004</c:v>
              </c:pt>
              <c:pt idx="2777">
                <c:v>-186.37932000000001</c:v>
              </c:pt>
              <c:pt idx="2778">
                <c:v>-186.26898</c:v>
              </c:pt>
              <c:pt idx="2779">
                <c:v>-186.15864999999999</c:v>
              </c:pt>
              <c:pt idx="2780">
                <c:v>-186.04822000000001</c:v>
              </c:pt>
              <c:pt idx="2781">
                <c:v>-185.93779000000001</c:v>
              </c:pt>
              <c:pt idx="2782">
                <c:v>-185.82745</c:v>
              </c:pt>
              <c:pt idx="2783">
                <c:v>-185.71711999999999</c:v>
              </c:pt>
              <c:pt idx="2784">
                <c:v>-185.60669000000001</c:v>
              </c:pt>
              <c:pt idx="2785">
                <c:v>-185.49635999999998</c:v>
              </c:pt>
              <c:pt idx="2786">
                <c:v>-185.38592999999997</c:v>
              </c:pt>
              <c:pt idx="2787">
                <c:v>-185.2756</c:v>
              </c:pt>
              <c:pt idx="2788">
                <c:v>-185.16517000000002</c:v>
              </c:pt>
              <c:pt idx="2789">
                <c:v>-185.05473999999998</c:v>
              </c:pt>
              <c:pt idx="2790">
                <c:v>-184.94431</c:v>
              </c:pt>
              <c:pt idx="2791">
                <c:v>-184.83409</c:v>
              </c:pt>
              <c:pt idx="2792">
                <c:v>-184.72376</c:v>
              </c:pt>
              <c:pt idx="2793">
                <c:v>-184.61332999999999</c:v>
              </c:pt>
              <c:pt idx="2794">
                <c:v>-184.50291000000001</c:v>
              </c:pt>
              <c:pt idx="2795">
                <c:v>-184.39247999999998</c:v>
              </c:pt>
              <c:pt idx="2796">
                <c:v>-184.28215</c:v>
              </c:pt>
              <c:pt idx="2797">
                <c:v>-184.17173</c:v>
              </c:pt>
              <c:pt idx="2798">
                <c:v>-184.06139999999999</c:v>
              </c:pt>
              <c:pt idx="2799">
                <c:v>-183.95098000000002</c:v>
              </c:pt>
              <c:pt idx="2800">
                <c:v>-183.84064999999998</c:v>
              </c:pt>
              <c:pt idx="2801">
                <c:v>-183.73023000000001</c:v>
              </c:pt>
              <c:pt idx="2802">
                <c:v>-183.61990999999998</c:v>
              </c:pt>
              <c:pt idx="2803">
                <c:v>-183.50948</c:v>
              </c:pt>
              <c:pt idx="2804">
                <c:v>-183.39915999999999</c:v>
              </c:pt>
              <c:pt idx="2805">
                <c:v>-183.28883999999999</c:v>
              </c:pt>
              <c:pt idx="2806">
                <c:v>-183.17841999999999</c:v>
              </c:pt>
              <c:pt idx="2807">
                <c:v>-183.06800000000001</c:v>
              </c:pt>
              <c:pt idx="2808">
                <c:v>-182.95757999999998</c:v>
              </c:pt>
              <c:pt idx="2809">
                <c:v>-182.84716</c:v>
              </c:pt>
              <c:pt idx="2810">
                <c:v>-182.73693999999998</c:v>
              </c:pt>
              <c:pt idx="2811">
                <c:v>-182.62652</c:v>
              </c:pt>
              <c:pt idx="2812">
                <c:v>-182.51609999999999</c:v>
              </c:pt>
              <c:pt idx="2813">
                <c:v>-182.40567999999999</c:v>
              </c:pt>
              <c:pt idx="2814">
                <c:v>-182.29525999999998</c:v>
              </c:pt>
              <c:pt idx="2815">
                <c:v>-182.18494000000001</c:v>
              </c:pt>
              <c:pt idx="2816">
                <c:v>-182.07463000000001</c:v>
              </c:pt>
              <c:pt idx="2817">
                <c:v>-181.96421000000001</c:v>
              </c:pt>
              <c:pt idx="2818">
                <c:v>-181.85379</c:v>
              </c:pt>
              <c:pt idx="2819">
                <c:v>-181.74338</c:v>
              </c:pt>
              <c:pt idx="2820">
                <c:v>-181.63306</c:v>
              </c:pt>
              <c:pt idx="2821">
                <c:v>-181.52275</c:v>
              </c:pt>
              <c:pt idx="2822">
                <c:v>-181.41233</c:v>
              </c:pt>
              <c:pt idx="2823">
                <c:v>-181.30192</c:v>
              </c:pt>
              <c:pt idx="2824">
                <c:v>-181.19150999999999</c:v>
              </c:pt>
              <c:pt idx="2825">
                <c:v>-181.08118999999999</c:v>
              </c:pt>
              <c:pt idx="2826">
                <c:v>-180.97077999999999</c:v>
              </c:pt>
              <c:pt idx="2827">
                <c:v>-180.86047000000002</c:v>
              </c:pt>
              <c:pt idx="2828">
                <c:v>-180.75005999999999</c:v>
              </c:pt>
              <c:pt idx="2829">
                <c:v>-180.63964000000004</c:v>
              </c:pt>
              <c:pt idx="2830">
                <c:v>-180.52922999999998</c:v>
              </c:pt>
              <c:pt idx="2831">
                <c:v>-180.41892000000001</c:v>
              </c:pt>
              <c:pt idx="2832">
                <c:v>-180.30851000000001</c:v>
              </c:pt>
              <c:pt idx="2833">
                <c:v>-180.19819999999999</c:v>
              </c:pt>
              <c:pt idx="2834">
                <c:v>-180.08778999999998</c:v>
              </c:pt>
              <c:pt idx="2835">
                <c:v>-179.97738000000001</c:v>
              </c:pt>
              <c:pt idx="2836">
                <c:v>-179.86697999999998</c:v>
              </c:pt>
              <c:pt idx="2837">
                <c:v>-179.75667000000001</c:v>
              </c:pt>
              <c:pt idx="2838">
                <c:v>-179.64636000000002</c:v>
              </c:pt>
              <c:pt idx="2839">
                <c:v>-179.53585000000001</c:v>
              </c:pt>
              <c:pt idx="2840">
                <c:v>-179.42545000000001</c:v>
              </c:pt>
              <c:pt idx="2841">
                <c:v>-179.31504000000001</c:v>
              </c:pt>
              <c:pt idx="2842">
                <c:v>-179.20463999999998</c:v>
              </c:pt>
              <c:pt idx="2843">
                <c:v>-179.09442999999999</c:v>
              </c:pt>
              <c:pt idx="2844">
                <c:v>-178.98402000000002</c:v>
              </c:pt>
              <c:pt idx="2845">
                <c:v>-178.87361999999999</c:v>
              </c:pt>
              <c:pt idx="2846">
                <c:v>-178.76321999999999</c:v>
              </c:pt>
              <c:pt idx="2847">
                <c:v>-178.65280999999999</c:v>
              </c:pt>
              <c:pt idx="2848">
                <c:v>-178.54241000000002</c:v>
              </c:pt>
              <c:pt idx="2849">
                <c:v>-178.43221</c:v>
              </c:pt>
              <c:pt idx="2850">
                <c:v>-178.32169999999999</c:v>
              </c:pt>
              <c:pt idx="2851">
                <c:v>-178.21129999999999</c:v>
              </c:pt>
              <c:pt idx="2852">
                <c:v>-178.1009</c:v>
              </c:pt>
              <c:pt idx="2853">
                <c:v>-177.9905</c:v>
              </c:pt>
              <c:pt idx="2854">
                <c:v>-177.8802</c:v>
              </c:pt>
              <c:pt idx="2855">
                <c:v>-177.7698</c:v>
              </c:pt>
              <c:pt idx="2856">
                <c:v>-177.65950000000001</c:v>
              </c:pt>
              <c:pt idx="2857">
                <c:v>-177.54910000000001</c:v>
              </c:pt>
              <c:pt idx="2858">
                <c:v>-177.43860000000001</c:v>
              </c:pt>
              <c:pt idx="2859">
                <c:v>-177.32830000000001</c:v>
              </c:pt>
              <c:pt idx="2860">
                <c:v>-177.21791000000002</c:v>
              </c:pt>
              <c:pt idx="2861">
                <c:v>-177.10750999999999</c:v>
              </c:pt>
              <c:pt idx="2862">
                <c:v>-176.99711000000002</c:v>
              </c:pt>
              <c:pt idx="2863">
                <c:v>-176.88681</c:v>
              </c:pt>
              <c:pt idx="2864">
                <c:v>-176.77652</c:v>
              </c:pt>
              <c:pt idx="2865">
                <c:v>-176.66602</c:v>
              </c:pt>
              <c:pt idx="2866">
                <c:v>-176.55563000000001</c:v>
              </c:pt>
              <c:pt idx="2867">
                <c:v>-176.44522999999998</c:v>
              </c:pt>
              <c:pt idx="2868">
                <c:v>-176.33484000000001</c:v>
              </c:pt>
              <c:pt idx="2869">
                <c:v>-176.22453999999999</c:v>
              </c:pt>
              <c:pt idx="2870">
                <c:v>-176.11415</c:v>
              </c:pt>
              <c:pt idx="2871">
                <c:v>-176.00376</c:v>
              </c:pt>
              <c:pt idx="2872">
                <c:v>-175.89336</c:v>
              </c:pt>
              <c:pt idx="2873">
                <c:v>-175.78297000000001</c:v>
              </c:pt>
              <c:pt idx="2874">
                <c:v>-175.67267999999999</c:v>
              </c:pt>
              <c:pt idx="2875">
                <c:v>-175.56229000000002</c:v>
              </c:pt>
              <c:pt idx="2876">
                <c:v>-175.45179999999999</c:v>
              </c:pt>
              <c:pt idx="2877">
                <c:v>-175.34141</c:v>
              </c:pt>
              <c:pt idx="2878">
                <c:v>-175.23102</c:v>
              </c:pt>
              <c:pt idx="2879">
                <c:v>-175.12073000000001</c:v>
              </c:pt>
              <c:pt idx="2880">
                <c:v>-175.01034000000001</c:v>
              </c:pt>
              <c:pt idx="2881">
                <c:v>-174.89994999999999</c:v>
              </c:pt>
              <c:pt idx="2882">
                <c:v>-174.78955999999999</c:v>
              </c:pt>
              <c:pt idx="2883">
                <c:v>-174.67917</c:v>
              </c:pt>
              <c:pt idx="2884">
                <c:v>-174.56888000000001</c:v>
              </c:pt>
              <c:pt idx="2885">
                <c:v>-174.45839999999998</c:v>
              </c:pt>
              <c:pt idx="2886">
                <c:v>-174.34800999999999</c:v>
              </c:pt>
              <c:pt idx="2887">
                <c:v>-174.23761999999999</c:v>
              </c:pt>
              <c:pt idx="2888">
                <c:v>-174.12734</c:v>
              </c:pt>
              <c:pt idx="2889">
                <c:v>-174.01695000000001</c:v>
              </c:pt>
              <c:pt idx="2890">
                <c:v>-173.90656999999999</c:v>
              </c:pt>
              <c:pt idx="2891">
                <c:v>-173.79617999999999</c:v>
              </c:pt>
              <c:pt idx="2892">
                <c:v>-173.6858</c:v>
              </c:pt>
              <c:pt idx="2893">
                <c:v>-173.57542000000001</c:v>
              </c:pt>
              <c:pt idx="2894">
                <c:v>-173.46503000000001</c:v>
              </c:pt>
              <c:pt idx="2895">
                <c:v>-173.35464999999999</c:v>
              </c:pt>
              <c:pt idx="2896">
                <c:v>-173.24417</c:v>
              </c:pt>
              <c:pt idx="2897">
                <c:v>-173.13378999999998</c:v>
              </c:pt>
              <c:pt idx="2898">
                <c:v>-173.02350000000001</c:v>
              </c:pt>
              <c:pt idx="2899">
                <c:v>-172.91322</c:v>
              </c:pt>
              <c:pt idx="2900">
                <c:v>-172.80274</c:v>
              </c:pt>
              <c:pt idx="2901">
                <c:v>-172.69236000000001</c:v>
              </c:pt>
              <c:pt idx="2902">
                <c:v>-172.58207999999999</c:v>
              </c:pt>
              <c:pt idx="2903">
                <c:v>-172.4716</c:v>
              </c:pt>
              <c:pt idx="2904">
                <c:v>-172.36123000000001</c:v>
              </c:pt>
              <c:pt idx="2905">
                <c:v>-172.25085000000001</c:v>
              </c:pt>
              <c:pt idx="2906">
                <c:v>-172.14037000000002</c:v>
              </c:pt>
              <c:pt idx="2907">
                <c:v>-172.03009</c:v>
              </c:pt>
              <c:pt idx="2908">
                <c:v>-171.91971000000001</c:v>
              </c:pt>
              <c:pt idx="2909">
                <c:v>-171.80923999999999</c:v>
              </c:pt>
              <c:pt idx="2910">
                <c:v>-171.69886</c:v>
              </c:pt>
              <c:pt idx="2911">
                <c:v>-171.58858999999998</c:v>
              </c:pt>
              <c:pt idx="2912">
                <c:v>-171.47820999999999</c:v>
              </c:pt>
              <c:pt idx="2913">
                <c:v>-171.36784</c:v>
              </c:pt>
              <c:pt idx="2914">
                <c:v>-171.25745999999998</c:v>
              </c:pt>
              <c:pt idx="2915">
                <c:v>-171.14698999999999</c:v>
              </c:pt>
              <c:pt idx="2916">
                <c:v>-171.03671</c:v>
              </c:pt>
              <c:pt idx="2917">
                <c:v>-170.92634000000001</c:v>
              </c:pt>
              <c:pt idx="2918">
                <c:v>-170.81587000000002</c:v>
              </c:pt>
              <c:pt idx="2919">
                <c:v>-170.7055</c:v>
              </c:pt>
              <c:pt idx="2920">
                <c:v>-170.59521999999998</c:v>
              </c:pt>
              <c:pt idx="2921">
                <c:v>-170.48474999999999</c:v>
              </c:pt>
              <c:pt idx="2922">
                <c:v>-170.37438</c:v>
              </c:pt>
              <c:pt idx="2923">
                <c:v>-170.26390999999998</c:v>
              </c:pt>
              <c:pt idx="2924">
                <c:v>-170.15364</c:v>
              </c:pt>
              <c:pt idx="2925">
                <c:v>-170.04327000000001</c:v>
              </c:pt>
              <c:pt idx="2926">
                <c:v>-169.93279999999999</c:v>
              </c:pt>
              <c:pt idx="2927">
                <c:v>-169.82243</c:v>
              </c:pt>
              <c:pt idx="2928">
                <c:v>-169.71206000000001</c:v>
              </c:pt>
              <c:pt idx="2929">
                <c:v>-169.6018</c:v>
              </c:pt>
              <c:pt idx="2930">
                <c:v>-169.49142999999998</c:v>
              </c:pt>
              <c:pt idx="2931">
                <c:v>-169.38095999999999</c:v>
              </c:pt>
              <c:pt idx="2932">
                <c:v>-169.2706</c:v>
              </c:pt>
              <c:pt idx="2933">
                <c:v>-169.16023000000001</c:v>
              </c:pt>
              <c:pt idx="2934">
                <c:v>-169.04986</c:v>
              </c:pt>
              <c:pt idx="2935">
                <c:v>-168.93940000000001</c:v>
              </c:pt>
              <c:pt idx="2936">
                <c:v>-168.82902999999999</c:v>
              </c:pt>
              <c:pt idx="2937">
                <c:v>-168.71877000000001</c:v>
              </c:pt>
              <c:pt idx="2938">
                <c:v>-168.60830999999999</c:v>
              </c:pt>
              <c:pt idx="2939">
                <c:v>-168.49794</c:v>
              </c:pt>
              <c:pt idx="2940">
                <c:v>-168.38747999999998</c:v>
              </c:pt>
              <c:pt idx="2941">
                <c:v>-168.27722</c:v>
              </c:pt>
              <c:pt idx="2942">
                <c:v>-168.16675000000001</c:v>
              </c:pt>
              <c:pt idx="2943">
                <c:v>-168.05638999999999</c:v>
              </c:pt>
              <c:pt idx="2944">
                <c:v>-167.94593</c:v>
              </c:pt>
              <c:pt idx="2945">
                <c:v>-167.83556999999999</c:v>
              </c:pt>
              <c:pt idx="2946">
                <c:v>-167.72531000000001</c:v>
              </c:pt>
              <c:pt idx="2947">
                <c:v>-167.61484999999999</c:v>
              </c:pt>
              <c:pt idx="2948">
                <c:v>-167.50449</c:v>
              </c:pt>
              <c:pt idx="2949">
                <c:v>-167.39402999999999</c:v>
              </c:pt>
              <c:pt idx="2950">
                <c:v>-167.28377</c:v>
              </c:pt>
              <c:pt idx="2951">
                <c:v>-167.17331000000001</c:v>
              </c:pt>
              <c:pt idx="2952">
                <c:v>-167.06294999999997</c:v>
              </c:pt>
              <c:pt idx="2953">
                <c:v>-166.95249999999999</c:v>
              </c:pt>
              <c:pt idx="2954">
                <c:v>-166.84224</c:v>
              </c:pt>
              <c:pt idx="2955">
                <c:v>-166.73177999999999</c:v>
              </c:pt>
              <c:pt idx="2956">
                <c:v>-166.62143</c:v>
              </c:pt>
              <c:pt idx="2957">
                <c:v>-166.51106999999999</c:v>
              </c:pt>
              <c:pt idx="2958">
                <c:v>-166.40082000000001</c:v>
              </c:pt>
              <c:pt idx="2959">
                <c:v>-166.29036000000002</c:v>
              </c:pt>
              <c:pt idx="2960">
                <c:v>-166.18000999999998</c:v>
              </c:pt>
              <c:pt idx="2961">
                <c:v>-166.06954999999999</c:v>
              </c:pt>
              <c:pt idx="2962">
                <c:v>-165.95929999999998</c:v>
              </c:pt>
              <c:pt idx="2963">
                <c:v>-165.84885</c:v>
              </c:pt>
              <c:pt idx="2964">
                <c:v>-165.73838999999998</c:v>
              </c:pt>
              <c:pt idx="2965">
                <c:v>-165.62804</c:v>
              </c:pt>
              <c:pt idx="2966">
                <c:v>-165.51769000000002</c:v>
              </c:pt>
              <c:pt idx="2967">
                <c:v>-165.40734</c:v>
              </c:pt>
              <c:pt idx="2968">
                <c:v>-165.29689000000002</c:v>
              </c:pt>
              <c:pt idx="2969">
                <c:v>-165.18653999999998</c:v>
              </c:pt>
              <c:pt idx="2970">
                <c:v>-165.07619</c:v>
              </c:pt>
              <c:pt idx="2971">
                <c:v>-164.96584000000001</c:v>
              </c:pt>
              <c:pt idx="2972">
                <c:v>-164.85539</c:v>
              </c:pt>
              <c:pt idx="2973">
                <c:v>-164.74493999999999</c:v>
              </c:pt>
              <c:pt idx="2974">
                <c:v>-164.63469000000001</c:v>
              </c:pt>
              <c:pt idx="2975">
                <c:v>-164.52423999999999</c:v>
              </c:pt>
              <c:pt idx="2976">
                <c:v>-164.41390000000001</c:v>
              </c:pt>
              <c:pt idx="2977">
                <c:v>-164.30345</c:v>
              </c:pt>
              <c:pt idx="2978">
                <c:v>-164.19319999999999</c:v>
              </c:pt>
              <c:pt idx="2979">
                <c:v>-164.08276000000001</c:v>
              </c:pt>
              <c:pt idx="2980">
                <c:v>-163.97230999999999</c:v>
              </c:pt>
              <c:pt idx="2981">
                <c:v>-163.86207000000002</c:v>
              </c:pt>
              <c:pt idx="2982">
                <c:v>-163.75152000000003</c:v>
              </c:pt>
              <c:pt idx="2983">
                <c:v>-163.64117999999999</c:v>
              </c:pt>
              <c:pt idx="2984">
                <c:v>-163.53073000000001</c:v>
              </c:pt>
              <c:pt idx="2985">
                <c:v>-163.42039</c:v>
              </c:pt>
              <c:pt idx="2986">
                <c:v>-163.31005000000002</c:v>
              </c:pt>
              <c:pt idx="2987">
                <c:v>-163.1996</c:v>
              </c:pt>
              <c:pt idx="2988">
                <c:v>-163.08915999999999</c:v>
              </c:pt>
              <c:pt idx="2989">
                <c:v>-162.97892000000002</c:v>
              </c:pt>
              <c:pt idx="2990">
                <c:v>-162.86847999999998</c:v>
              </c:pt>
              <c:pt idx="2991">
                <c:v>-162.75814</c:v>
              </c:pt>
              <c:pt idx="2992">
                <c:v>-162.64769999999999</c:v>
              </c:pt>
              <c:pt idx="2993">
                <c:v>-162.53736000000001</c:v>
              </c:pt>
              <c:pt idx="2994">
                <c:v>-162.42702</c:v>
              </c:pt>
              <c:pt idx="2995">
                <c:v>-162.31657999999999</c:v>
              </c:pt>
              <c:pt idx="2996">
                <c:v>-162.20614</c:v>
              </c:pt>
              <c:pt idx="2997">
                <c:v>-162.09589999999997</c:v>
              </c:pt>
              <c:pt idx="2998">
                <c:v>-161.98545999999999</c:v>
              </c:pt>
              <c:pt idx="2999">
                <c:v>-161.87502000000001</c:v>
              </c:pt>
              <c:pt idx="3000">
                <c:v>-161.76479</c:v>
              </c:pt>
              <c:pt idx="3001">
                <c:v>-161.65435000000002</c:v>
              </c:pt>
              <c:pt idx="3002">
                <c:v>-161.54392000000001</c:v>
              </c:pt>
              <c:pt idx="3003">
                <c:v>-161.43358000000001</c:v>
              </c:pt>
              <c:pt idx="3004">
                <c:v>-161.32324</c:v>
              </c:pt>
              <c:pt idx="3005">
                <c:v>-161.21280999999999</c:v>
              </c:pt>
              <c:pt idx="3006">
                <c:v>-161.10238000000001</c:v>
              </c:pt>
              <c:pt idx="3007">
                <c:v>-160.99204</c:v>
              </c:pt>
              <c:pt idx="3008">
                <c:v>-160.88171</c:v>
              </c:pt>
              <c:pt idx="3009">
                <c:v>-160.77127000000002</c:v>
              </c:pt>
              <c:pt idx="3010">
                <c:v>-160.66093999999998</c:v>
              </c:pt>
              <c:pt idx="3011">
                <c:v>-160.55051</c:v>
              </c:pt>
              <c:pt idx="3012">
                <c:v>-160.44008000000002</c:v>
              </c:pt>
              <c:pt idx="3013">
                <c:v>-160.32974999999999</c:v>
              </c:pt>
              <c:pt idx="3014">
                <c:v>-160.21931999999998</c:v>
              </c:pt>
              <c:pt idx="3015">
                <c:v>-160.10899000000001</c:v>
              </c:pt>
              <c:pt idx="3016">
                <c:v>-159.99856</c:v>
              </c:pt>
              <c:pt idx="3017">
                <c:v>-159.88823000000002</c:v>
              </c:pt>
              <c:pt idx="3018">
                <c:v>-159.77789999999999</c:v>
              </c:pt>
              <c:pt idx="3019">
                <c:v>-159.66747000000001</c:v>
              </c:pt>
              <c:pt idx="3020">
                <c:v>-159.55704</c:v>
              </c:pt>
              <c:pt idx="3021">
                <c:v>-159.44671</c:v>
              </c:pt>
              <c:pt idx="3022">
                <c:v>-159.33637999999999</c:v>
              </c:pt>
              <c:pt idx="3023">
                <c:v>-159.22596000000001</c:v>
              </c:pt>
              <c:pt idx="3024">
                <c:v>-159.11553000000001</c:v>
              </c:pt>
              <c:pt idx="3025">
                <c:v>-159.0052</c:v>
              </c:pt>
              <c:pt idx="3026">
                <c:v>-158.89488</c:v>
              </c:pt>
              <c:pt idx="3027">
                <c:v>-158.78435000000002</c:v>
              </c:pt>
              <c:pt idx="3028">
                <c:v>-158.67393000000001</c:v>
              </c:pt>
              <c:pt idx="3029">
                <c:v>-158.56360000000001</c:v>
              </c:pt>
              <c:pt idx="3030">
                <c:v>-158.45328000000001</c:v>
              </c:pt>
              <c:pt idx="3031">
                <c:v>-158.34286</c:v>
              </c:pt>
              <c:pt idx="3032">
                <c:v>-158.23243000000002</c:v>
              </c:pt>
              <c:pt idx="3033">
                <c:v>-158.12210999999999</c:v>
              </c:pt>
              <c:pt idx="3034">
                <c:v>-158.01168999999999</c:v>
              </c:pt>
              <c:pt idx="3035">
                <c:v>-157.90137000000001</c:v>
              </c:pt>
              <c:pt idx="3036">
                <c:v>-157.79105000000001</c:v>
              </c:pt>
              <c:pt idx="3037">
                <c:v>-157.68063000000001</c:v>
              </c:pt>
              <c:pt idx="3038">
                <c:v>-157.57021</c:v>
              </c:pt>
              <c:pt idx="3039">
                <c:v>-157.45979</c:v>
              </c:pt>
              <c:pt idx="3040">
                <c:v>-157.34947</c:v>
              </c:pt>
              <c:pt idx="3041">
                <c:v>-157.23904999999999</c:v>
              </c:pt>
              <c:pt idx="3042">
                <c:v>-157.12863000000002</c:v>
              </c:pt>
              <c:pt idx="3043">
                <c:v>-157.01830999999999</c:v>
              </c:pt>
              <c:pt idx="3044">
                <c:v>-156.90789000000001</c:v>
              </c:pt>
              <c:pt idx="3045">
                <c:v>-156.79747</c:v>
              </c:pt>
              <c:pt idx="3046">
                <c:v>-156.68725999999998</c:v>
              </c:pt>
              <c:pt idx="3047">
                <c:v>-156.57684</c:v>
              </c:pt>
              <c:pt idx="3048">
                <c:v>-156.46642</c:v>
              </c:pt>
              <c:pt idx="3049">
                <c:v>-156.35601</c:v>
              </c:pt>
              <c:pt idx="3050">
                <c:v>-156.24558999999999</c:v>
              </c:pt>
              <c:pt idx="3051">
                <c:v>-156.13517999999999</c:v>
              </c:pt>
              <c:pt idx="3052">
                <c:v>-156.02475999999999</c:v>
              </c:pt>
              <c:pt idx="3053">
                <c:v>-155.91454999999999</c:v>
              </c:pt>
              <c:pt idx="3054">
                <c:v>-155.80413999999999</c:v>
              </c:pt>
              <c:pt idx="3055">
                <c:v>-155.69371999999998</c:v>
              </c:pt>
              <c:pt idx="3056">
                <c:v>-155.58341000000001</c:v>
              </c:pt>
              <c:pt idx="3057">
                <c:v>-155.47299999999998</c:v>
              </c:pt>
              <c:pt idx="3058">
                <c:v>-155.36259000000001</c:v>
              </c:pt>
              <c:pt idx="3059">
                <c:v>-155.25207999999998</c:v>
              </c:pt>
              <c:pt idx="3060">
                <c:v>-155.14177000000001</c:v>
              </c:pt>
              <c:pt idx="3061">
                <c:v>-155.03136000000001</c:v>
              </c:pt>
              <c:pt idx="3062">
                <c:v>-154.92104999999998</c:v>
              </c:pt>
              <c:pt idx="3063">
                <c:v>-154.81074000000001</c:v>
              </c:pt>
              <c:pt idx="3064">
                <c:v>-154.70033000000001</c:v>
              </c:pt>
              <c:pt idx="3065">
                <c:v>-154.58992000000001</c:v>
              </c:pt>
              <c:pt idx="3066">
                <c:v>-154.47961000000001</c:v>
              </c:pt>
              <c:pt idx="3067">
                <c:v>-154.3691</c:v>
              </c:pt>
              <c:pt idx="3068">
                <c:v>-154.25869</c:v>
              </c:pt>
              <c:pt idx="3069">
                <c:v>-154.14829</c:v>
              </c:pt>
              <c:pt idx="3070">
                <c:v>-154.03798</c:v>
              </c:pt>
              <c:pt idx="3071">
                <c:v>-153.92757999999998</c:v>
              </c:pt>
              <c:pt idx="3072">
                <c:v>-153.81717</c:v>
              </c:pt>
              <c:pt idx="3073">
                <c:v>-153.70686000000001</c:v>
              </c:pt>
              <c:pt idx="3074">
                <c:v>-153.59646000000001</c:v>
              </c:pt>
              <c:pt idx="3075">
                <c:v>-153.48596000000001</c:v>
              </c:pt>
              <c:pt idx="3076">
                <c:v>-153.37574999999998</c:v>
              </c:pt>
              <c:pt idx="3077">
                <c:v>-153.26535000000001</c:v>
              </c:pt>
              <c:pt idx="3078">
                <c:v>-153.15495000000001</c:v>
              </c:pt>
              <c:pt idx="3079">
                <c:v>-153.04464000000002</c:v>
              </c:pt>
              <c:pt idx="3080">
                <c:v>-152.93424000000002</c:v>
              </c:pt>
              <c:pt idx="3081">
                <c:v>-152.82384000000002</c:v>
              </c:pt>
              <c:pt idx="3082">
                <c:v>-152.71343999999999</c:v>
              </c:pt>
              <c:pt idx="3083">
                <c:v>-152.60303999999999</c:v>
              </c:pt>
              <c:pt idx="3084">
                <c:v>-152.49263999999999</c:v>
              </c:pt>
              <c:pt idx="3085">
                <c:v>-152.38224000000002</c:v>
              </c:pt>
              <c:pt idx="3086">
                <c:v>-152.27194</c:v>
              </c:pt>
              <c:pt idx="3087">
                <c:v>-152.16154</c:v>
              </c:pt>
              <c:pt idx="3088">
                <c:v>-152.05114</c:v>
              </c:pt>
              <c:pt idx="3089">
                <c:v>-151.94074000000001</c:v>
              </c:pt>
              <c:pt idx="3090">
                <c:v>-151.83034000000001</c:v>
              </c:pt>
              <c:pt idx="3091">
                <c:v>-151.71995000000001</c:v>
              </c:pt>
              <c:pt idx="3092">
                <c:v>-151.60964999999999</c:v>
              </c:pt>
              <c:pt idx="3093">
                <c:v>-151.49924999999996</c:v>
              </c:pt>
              <c:pt idx="3094">
                <c:v>-151.38885999999999</c:v>
              </c:pt>
              <c:pt idx="3095">
                <c:v>-151.27846</c:v>
              </c:pt>
              <c:pt idx="3096">
                <c:v>-151.16807</c:v>
              </c:pt>
              <c:pt idx="3097">
                <c:v>-151.05767</c:v>
              </c:pt>
              <c:pt idx="3098">
                <c:v>-150.94728000000001</c:v>
              </c:pt>
              <c:pt idx="3099">
                <c:v>-150.83688000000001</c:v>
              </c:pt>
              <c:pt idx="3100">
                <c:v>-150.72648999999998</c:v>
              </c:pt>
              <c:pt idx="3101">
                <c:v>-150.61609999999999</c:v>
              </c:pt>
              <c:pt idx="3102">
                <c:v>-150.50569999999999</c:v>
              </c:pt>
              <c:pt idx="3103">
                <c:v>-150.39530999999999</c:v>
              </c:pt>
              <c:pt idx="3104">
                <c:v>-150.28502</c:v>
              </c:pt>
              <c:pt idx="3105">
                <c:v>-150.17462999999998</c:v>
              </c:pt>
              <c:pt idx="3106">
                <c:v>-150.06424000000001</c:v>
              </c:pt>
              <c:pt idx="3107">
                <c:v>-149.95385000000002</c:v>
              </c:pt>
              <c:pt idx="3108">
                <c:v>-149.84345999999999</c:v>
              </c:pt>
              <c:pt idx="3109">
                <c:v>-149.73307</c:v>
              </c:pt>
              <c:pt idx="3110">
                <c:v>-149.62268</c:v>
              </c:pt>
              <c:pt idx="3111">
                <c:v>-149.51238999999998</c:v>
              </c:pt>
              <c:pt idx="3112">
                <c:v>-149.40200000000002</c:v>
              </c:pt>
              <c:pt idx="3113">
                <c:v>-149.29141000000001</c:v>
              </c:pt>
              <c:pt idx="3114">
                <c:v>-149.18113</c:v>
              </c:pt>
              <c:pt idx="3115">
                <c:v>-149.07074</c:v>
              </c:pt>
              <c:pt idx="3116">
                <c:v>-148.96035000000001</c:v>
              </c:pt>
              <c:pt idx="3117">
                <c:v>-148.85007000000002</c:v>
              </c:pt>
              <c:pt idx="3118">
                <c:v>-148.73957999999999</c:v>
              </c:pt>
              <c:pt idx="3119">
                <c:v>-148.6292</c:v>
              </c:pt>
              <c:pt idx="3120">
                <c:v>-148.51891000000001</c:v>
              </c:pt>
              <c:pt idx="3121">
                <c:v>-148.40853000000001</c:v>
              </c:pt>
              <c:pt idx="3122">
                <c:v>-148.29804000000001</c:v>
              </c:pt>
              <c:pt idx="3123">
                <c:v>-148.18765999999999</c:v>
              </c:pt>
              <c:pt idx="3124">
                <c:v>-148.07728</c:v>
              </c:pt>
              <c:pt idx="3125">
                <c:v>-147.96690000000001</c:v>
              </c:pt>
              <c:pt idx="3126">
                <c:v>-147.85660999999999</c:v>
              </c:pt>
              <c:pt idx="3127">
                <c:v>-147.74623</c:v>
              </c:pt>
              <c:pt idx="3128">
                <c:v>-147.63575</c:v>
              </c:pt>
              <c:pt idx="3129">
                <c:v>-147.52537000000001</c:v>
              </c:pt>
              <c:pt idx="3130">
                <c:v>-147.41499000000002</c:v>
              </c:pt>
              <c:pt idx="3131">
                <c:v>-147.30461</c:v>
              </c:pt>
              <c:pt idx="3132">
                <c:v>-147.19432999999998</c:v>
              </c:pt>
              <c:pt idx="3133">
                <c:v>-147.08385000000001</c:v>
              </c:pt>
              <c:pt idx="3134">
                <c:v>-146.97357</c:v>
              </c:pt>
              <c:pt idx="3135">
                <c:v>-146.86309</c:v>
              </c:pt>
              <c:pt idx="3136">
                <c:v>-146.75272000000001</c:v>
              </c:pt>
              <c:pt idx="3137">
                <c:v>-146.64243999999999</c:v>
              </c:pt>
              <c:pt idx="3138">
                <c:v>-146.53196</c:v>
              </c:pt>
              <c:pt idx="3139">
                <c:v>-146.42158999999998</c:v>
              </c:pt>
              <c:pt idx="3140">
                <c:v>-146.31120999999999</c:v>
              </c:pt>
              <c:pt idx="3141">
                <c:v>-146.20083</c:v>
              </c:pt>
              <c:pt idx="3142">
                <c:v>-146.09046000000001</c:v>
              </c:pt>
              <c:pt idx="3143">
                <c:v>-145.98007999999999</c:v>
              </c:pt>
              <c:pt idx="3144">
                <c:v>-145.86971</c:v>
              </c:pt>
              <c:pt idx="3145">
                <c:v>-145.75923999999998</c:v>
              </c:pt>
              <c:pt idx="3146">
                <c:v>-145.64895999999999</c:v>
              </c:pt>
              <c:pt idx="3147">
                <c:v>-145.53849</c:v>
              </c:pt>
              <c:pt idx="3148">
                <c:v>-145.42811999999998</c:v>
              </c:pt>
              <c:pt idx="3149">
                <c:v>-145.31774999999999</c:v>
              </c:pt>
              <c:pt idx="3150">
                <c:v>-145.20737</c:v>
              </c:pt>
              <c:pt idx="3151">
                <c:v>-145.09690000000001</c:v>
              </c:pt>
              <c:pt idx="3152">
                <c:v>-144.98662999999999</c:v>
              </c:pt>
              <c:pt idx="3153">
                <c:v>-144.87616</c:v>
              </c:pt>
              <c:pt idx="3154">
                <c:v>-144.76578999999998</c:v>
              </c:pt>
              <c:pt idx="3155">
                <c:v>-144.65552</c:v>
              </c:pt>
              <c:pt idx="3156">
                <c:v>-144.54505</c:v>
              </c:pt>
              <c:pt idx="3157">
                <c:v>-144.43458999999999</c:v>
              </c:pt>
              <c:pt idx="3158">
                <c:v>-144.32432</c:v>
              </c:pt>
              <c:pt idx="3159">
                <c:v>-144.21395000000001</c:v>
              </c:pt>
              <c:pt idx="3160">
                <c:v>-144.10358000000002</c:v>
              </c:pt>
              <c:pt idx="3161">
                <c:v>-143.99312000000003</c:v>
              </c:pt>
              <c:pt idx="3162">
                <c:v>-143.88274999999999</c:v>
              </c:pt>
              <c:pt idx="3163">
                <c:v>-143.77248</c:v>
              </c:pt>
              <c:pt idx="3164">
                <c:v>-143.66192000000001</c:v>
              </c:pt>
              <c:pt idx="3165">
                <c:v>-143.55155000000002</c:v>
              </c:pt>
              <c:pt idx="3166">
                <c:v>-143.44129000000001</c:v>
              </c:pt>
              <c:pt idx="3167">
                <c:v>-143.33091999999999</c:v>
              </c:pt>
              <c:pt idx="3168">
                <c:v>-143.22036</c:v>
              </c:pt>
              <c:pt idx="3169">
                <c:v>-143.11010000000002</c:v>
              </c:pt>
              <c:pt idx="3170">
                <c:v>-142.99973</c:v>
              </c:pt>
              <c:pt idx="3171">
                <c:v>-142.88927000000001</c:v>
              </c:pt>
              <c:pt idx="3172">
                <c:v>-142.77891</c:v>
              </c:pt>
              <c:pt idx="3173">
                <c:v>-142.66855000000001</c:v>
              </c:pt>
              <c:pt idx="3174">
                <c:v>-142.55819</c:v>
              </c:pt>
              <c:pt idx="3175">
                <c:v>-142.44782999999998</c:v>
              </c:pt>
              <c:pt idx="3176">
                <c:v>-142.33736999999999</c:v>
              </c:pt>
              <c:pt idx="3177">
                <c:v>-142.22701000000001</c:v>
              </c:pt>
              <c:pt idx="3178">
                <c:v>-142.11664999999999</c:v>
              </c:pt>
              <c:pt idx="3179">
                <c:v>-142.00619</c:v>
              </c:pt>
              <c:pt idx="3180">
                <c:v>-141.89582999999999</c:v>
              </c:pt>
              <c:pt idx="3181">
                <c:v>-141.78547</c:v>
              </c:pt>
              <c:pt idx="3182">
                <c:v>-141.67510999999999</c:v>
              </c:pt>
              <c:pt idx="3183">
                <c:v>-141.56466</c:v>
              </c:pt>
              <c:pt idx="3184">
                <c:v>-141.45429999999999</c:v>
              </c:pt>
              <c:pt idx="3185">
                <c:v>-141.34404000000001</c:v>
              </c:pt>
              <c:pt idx="3186">
                <c:v>-141.23358999999999</c:v>
              </c:pt>
              <c:pt idx="3187">
                <c:v>-141.12313</c:v>
              </c:pt>
              <c:pt idx="3188">
                <c:v>-141.01277999999999</c:v>
              </c:pt>
              <c:pt idx="3189">
                <c:v>-140.90242000000001</c:v>
              </c:pt>
              <c:pt idx="3190">
                <c:v>-140.79196999999999</c:v>
              </c:pt>
              <c:pt idx="3191">
                <c:v>-140.68161000000001</c:v>
              </c:pt>
              <c:pt idx="3192">
                <c:v>-140.57126</c:v>
              </c:pt>
              <c:pt idx="3193">
                <c:v>-140.46080999999998</c:v>
              </c:pt>
              <c:pt idx="3194">
                <c:v>-140.35045</c:v>
              </c:pt>
              <c:pt idx="3195">
                <c:v>-140.24010000000001</c:v>
              </c:pt>
              <c:pt idx="3196">
                <c:v>-140.12975</c:v>
              </c:pt>
              <c:pt idx="3197">
                <c:v>-140.01929999999999</c:v>
              </c:pt>
              <c:pt idx="3198">
                <c:v>-139.90885</c:v>
              </c:pt>
              <c:pt idx="3199">
                <c:v>-139.79859999999999</c:v>
              </c:pt>
              <c:pt idx="3200">
                <c:v>-139.68824999999998</c:v>
              </c:pt>
              <c:pt idx="3201">
                <c:v>-139.57770000000002</c:v>
              </c:pt>
              <c:pt idx="3202">
                <c:v>-139.46745000000001</c:v>
              </c:pt>
              <c:pt idx="3203">
                <c:v>-139.35700000000003</c:v>
              </c:pt>
              <c:pt idx="3204">
                <c:v>-139.24664999999999</c:v>
              </c:pt>
              <c:pt idx="3205">
                <c:v>-139.13621000000001</c:v>
              </c:pt>
              <c:pt idx="3206">
                <c:v>-139.02585999999999</c:v>
              </c:pt>
              <c:pt idx="3207">
                <c:v>-138.91550999999998</c:v>
              </c:pt>
              <c:pt idx="3208">
                <c:v>-138.80507</c:v>
              </c:pt>
              <c:pt idx="3209">
                <c:v>-138.69471999999999</c:v>
              </c:pt>
              <c:pt idx="3210">
                <c:v>-138.58436999999998</c:v>
              </c:pt>
              <c:pt idx="3211">
                <c:v>-138.47393</c:v>
              </c:pt>
              <c:pt idx="3212">
                <c:v>-138.36358999999999</c:v>
              </c:pt>
              <c:pt idx="3213">
                <c:v>-138.25324000000001</c:v>
              </c:pt>
              <c:pt idx="3214">
                <c:v>-138.14269999999999</c:v>
              </c:pt>
              <c:pt idx="3215">
                <c:v>-138.03244999999998</c:v>
              </c:pt>
              <c:pt idx="3216">
                <c:v>-137.92201</c:v>
              </c:pt>
              <c:pt idx="3217">
                <c:v>-137.81166999999999</c:v>
              </c:pt>
              <c:pt idx="3218">
                <c:v>-137.70123000000001</c:v>
              </c:pt>
              <c:pt idx="3219">
                <c:v>-137.59089</c:v>
              </c:pt>
              <c:pt idx="3220">
                <c:v>-137.48044000000002</c:v>
              </c:pt>
              <c:pt idx="3221">
                <c:v>-137.37010000000001</c:v>
              </c:pt>
              <c:pt idx="3222">
                <c:v>-137.25966</c:v>
              </c:pt>
              <c:pt idx="3223">
                <c:v>-137.14932000000002</c:v>
              </c:pt>
              <c:pt idx="3224">
                <c:v>-137.03888000000001</c:v>
              </c:pt>
              <c:pt idx="3225">
                <c:v>-136.92865</c:v>
              </c:pt>
              <c:pt idx="3226">
                <c:v>-136.81820999999999</c:v>
              </c:pt>
              <c:pt idx="3227">
                <c:v>-136.70777000000001</c:v>
              </c:pt>
              <c:pt idx="3228">
                <c:v>-136.59743000000003</c:v>
              </c:pt>
              <c:pt idx="3229">
                <c:v>-136.48708999999999</c:v>
              </c:pt>
              <c:pt idx="3230">
                <c:v>-136.37666000000002</c:v>
              </c:pt>
              <c:pt idx="3231">
                <c:v>-136.26632000000001</c:v>
              </c:pt>
              <c:pt idx="3232">
                <c:v>-136.15588</c:v>
              </c:pt>
              <c:pt idx="3233">
                <c:v>-136.04554999999999</c:v>
              </c:pt>
              <c:pt idx="3234">
                <c:v>-135.93511000000001</c:v>
              </c:pt>
              <c:pt idx="3235">
                <c:v>-135.82468</c:v>
              </c:pt>
              <c:pt idx="3236">
                <c:v>-135.71435</c:v>
              </c:pt>
              <c:pt idx="3237">
                <c:v>-135.60390999999998</c:v>
              </c:pt>
              <c:pt idx="3238">
                <c:v>-135.49358000000001</c:v>
              </c:pt>
              <c:pt idx="3239">
                <c:v>-135.38315</c:v>
              </c:pt>
              <c:pt idx="3240">
                <c:v>-135.27280999999999</c:v>
              </c:pt>
              <c:pt idx="3241">
                <c:v>-135.16237999999998</c:v>
              </c:pt>
              <c:pt idx="3242">
                <c:v>-135.05195000000001</c:v>
              </c:pt>
              <c:pt idx="3243">
                <c:v>-134.94172</c:v>
              </c:pt>
              <c:pt idx="3244">
                <c:v>-134.83118999999999</c:v>
              </c:pt>
              <c:pt idx="3245">
                <c:v>-134.72086000000002</c:v>
              </c:pt>
              <c:pt idx="3246">
                <c:v>-134.61053000000001</c:v>
              </c:pt>
              <c:pt idx="3247">
                <c:v>-134.5</c:v>
              </c:pt>
              <c:pt idx="3248">
                <c:v>-134.38977</c:v>
              </c:pt>
              <c:pt idx="3249">
                <c:v>-134.27933999999999</c:v>
              </c:pt>
              <c:pt idx="3250">
                <c:v>-134.16891000000001</c:v>
              </c:pt>
              <c:pt idx="3251">
                <c:v>-134.05859000000001</c:v>
              </c:pt>
              <c:pt idx="3252">
                <c:v>-133.94816</c:v>
              </c:pt>
              <c:pt idx="3253">
                <c:v>-133.83783</c:v>
              </c:pt>
              <c:pt idx="3254">
                <c:v>-133.72740999999999</c:v>
              </c:pt>
              <c:pt idx="3255">
                <c:v>-133.61688000000001</c:v>
              </c:pt>
              <c:pt idx="3256">
                <c:v>-133.50665000000001</c:v>
              </c:pt>
              <c:pt idx="3257">
                <c:v>-133.39623</c:v>
              </c:pt>
              <c:pt idx="3258">
                <c:v>-133.28591</c:v>
              </c:pt>
              <c:pt idx="3259">
                <c:v>-133.17547999999999</c:v>
              </c:pt>
              <c:pt idx="3260">
                <c:v>-133.06506000000002</c:v>
              </c:pt>
              <c:pt idx="3261">
                <c:v>-132.95473000000001</c:v>
              </c:pt>
              <c:pt idx="3262">
                <c:v>-132.84431000000001</c:v>
              </c:pt>
              <c:pt idx="3263">
                <c:v>-132.73399000000001</c:v>
              </c:pt>
              <c:pt idx="3264">
                <c:v>-132.62357</c:v>
              </c:pt>
              <c:pt idx="3265">
                <c:v>-132.51315</c:v>
              </c:pt>
              <c:pt idx="3266">
                <c:v>-132.40273000000002</c:v>
              </c:pt>
              <c:pt idx="3267">
                <c:v>-132.29240999999999</c:v>
              </c:pt>
              <c:pt idx="3268">
                <c:v>-132.18208999999999</c:v>
              </c:pt>
              <c:pt idx="3269">
                <c:v>-132.07157000000001</c:v>
              </c:pt>
              <c:pt idx="3270">
                <c:v>-131.96135000000001</c:v>
              </c:pt>
              <c:pt idx="3271">
                <c:v>-131.85083</c:v>
              </c:pt>
              <c:pt idx="3272">
                <c:v>-131.74041</c:v>
              </c:pt>
              <c:pt idx="3273">
                <c:v>-131.63009</c:v>
              </c:pt>
              <c:pt idx="3274">
                <c:v>-131.51967999999999</c:v>
              </c:pt>
              <c:pt idx="3275">
                <c:v>-131.40935999999999</c:v>
              </c:pt>
              <c:pt idx="3276">
                <c:v>-131.29893999999999</c:v>
              </c:pt>
              <c:pt idx="3277">
                <c:v>-131.18853000000001</c:v>
              </c:pt>
              <c:pt idx="3278">
                <c:v>-131.07821000000001</c:v>
              </c:pt>
              <c:pt idx="3279">
                <c:v>-130.96770000000001</c:v>
              </c:pt>
              <c:pt idx="3280">
                <c:v>-130.85738000000001</c:v>
              </c:pt>
              <c:pt idx="3281">
                <c:v>-130.74707000000001</c:v>
              </c:pt>
              <c:pt idx="3282">
                <c:v>-130.63656</c:v>
              </c:pt>
              <c:pt idx="3283">
                <c:v>-130.52623999999997</c:v>
              </c:pt>
              <c:pt idx="3284">
                <c:v>-130.41583</c:v>
              </c:pt>
              <c:pt idx="3285">
                <c:v>-130.30552</c:v>
              </c:pt>
              <c:pt idx="3286">
                <c:v>-130.19501</c:v>
              </c:pt>
              <c:pt idx="3287">
                <c:v>-130.0847</c:v>
              </c:pt>
              <c:pt idx="3288">
                <c:v>-129.97439</c:v>
              </c:pt>
              <c:pt idx="3289">
                <c:v>-129.86387999999999</c:v>
              </c:pt>
              <c:pt idx="3290">
                <c:v>-129.75357</c:v>
              </c:pt>
              <c:pt idx="3291">
                <c:v>-129.64305999999999</c:v>
              </c:pt>
              <c:pt idx="3292">
                <c:v>-129.53274999999999</c:v>
              </c:pt>
              <c:pt idx="3293">
                <c:v>-129.42243999999999</c:v>
              </c:pt>
              <c:pt idx="3294">
                <c:v>-129.31193000000002</c:v>
              </c:pt>
              <c:pt idx="3295">
                <c:v>-129.20162999999999</c:v>
              </c:pt>
              <c:pt idx="3296">
                <c:v>-129.09111999999999</c:v>
              </c:pt>
              <c:pt idx="3297">
                <c:v>-128.98080999999999</c:v>
              </c:pt>
              <c:pt idx="3298">
                <c:v>-128.87051</c:v>
              </c:pt>
              <c:pt idx="3299">
                <c:v>-128.76009999999999</c:v>
              </c:pt>
              <c:pt idx="3300">
                <c:v>-128.6497</c:v>
              </c:pt>
              <c:pt idx="3301">
                <c:v>-128.53918999999999</c:v>
              </c:pt>
              <c:pt idx="3302">
                <c:v>-128.42889000000002</c:v>
              </c:pt>
              <c:pt idx="3303">
                <c:v>-128.31849</c:v>
              </c:pt>
              <c:pt idx="3304">
                <c:v>-128.20818</c:v>
              </c:pt>
              <c:pt idx="3305">
                <c:v>-128.09768</c:v>
              </c:pt>
              <c:pt idx="3306">
                <c:v>-127.98737999999999</c:v>
              </c:pt>
              <c:pt idx="3307">
                <c:v>-127.87697999999999</c:v>
              </c:pt>
              <c:pt idx="3308">
                <c:v>-127.76656999999999</c:v>
              </c:pt>
              <c:pt idx="3309">
                <c:v>-127.65626999999999</c:v>
              </c:pt>
              <c:pt idx="3310">
                <c:v>-127.54576999999999</c:v>
              </c:pt>
              <c:pt idx="3311">
                <c:v>-127.43547000000001</c:v>
              </c:pt>
              <c:pt idx="3312">
                <c:v>-127.32496999999998</c:v>
              </c:pt>
              <c:pt idx="3313">
                <c:v>-127.21468</c:v>
              </c:pt>
              <c:pt idx="3314">
                <c:v>-127.10427999999999</c:v>
              </c:pt>
              <c:pt idx="3315">
                <c:v>-126.99388</c:v>
              </c:pt>
              <c:pt idx="3316">
                <c:v>-126.88357999999999</c:v>
              </c:pt>
              <c:pt idx="3317">
                <c:v>-126.77309</c:v>
              </c:pt>
              <c:pt idx="3318">
                <c:v>-126.66279</c:v>
              </c:pt>
              <c:pt idx="3319">
                <c:v>-126.55229</c:v>
              </c:pt>
              <c:pt idx="3320">
                <c:v>-126.44199999999998</c:v>
              </c:pt>
              <c:pt idx="3321">
                <c:v>-126.33150000000001</c:v>
              </c:pt>
              <c:pt idx="3322">
                <c:v>-126.22111000000001</c:v>
              </c:pt>
              <c:pt idx="3323">
                <c:v>-126.11071</c:v>
              </c:pt>
              <c:pt idx="3324">
                <c:v>-126.00041999999999</c:v>
              </c:pt>
              <c:pt idx="3325">
                <c:v>-125.89013</c:v>
              </c:pt>
              <c:pt idx="3326">
                <c:v>-125.77963</c:v>
              </c:pt>
              <c:pt idx="3327">
                <c:v>-125.66934000000001</c:v>
              </c:pt>
              <c:pt idx="3328">
                <c:v>-125.55885000000001</c:v>
              </c:pt>
              <c:pt idx="3329">
                <c:v>-125.44846</c:v>
              </c:pt>
              <c:pt idx="3330">
                <c:v>-125.33807000000002</c:v>
              </c:pt>
              <c:pt idx="3331">
                <c:v>-125.22768000000001</c:v>
              </c:pt>
              <c:pt idx="3332">
                <c:v>-125.11729</c:v>
              </c:pt>
              <c:pt idx="3333">
                <c:v>-125.0069</c:v>
              </c:pt>
              <c:pt idx="3334">
                <c:v>-124.89651000000001</c:v>
              </c:pt>
              <c:pt idx="3335">
                <c:v>-124.78612</c:v>
              </c:pt>
              <c:pt idx="3336">
                <c:v>-124.67563</c:v>
              </c:pt>
              <c:pt idx="3337">
                <c:v>-124.56544</c:v>
              </c:pt>
              <c:pt idx="3338">
                <c:v>-124.45496</c:v>
              </c:pt>
              <c:pt idx="3339">
                <c:v>-124.34466999999999</c:v>
              </c:pt>
              <c:pt idx="3340">
                <c:v>-124.23417999999999</c:v>
              </c:pt>
              <c:pt idx="3341">
                <c:v>-124.12390000000001</c:v>
              </c:pt>
              <c:pt idx="3342">
                <c:v>-124.01340999999999</c:v>
              </c:pt>
              <c:pt idx="3343">
                <c:v>-123.90313</c:v>
              </c:pt>
              <c:pt idx="3344">
                <c:v>-123.79263999999999</c:v>
              </c:pt>
              <c:pt idx="3345">
                <c:v>-123.68225999999999</c:v>
              </c:pt>
              <c:pt idx="3346">
                <c:v>-123.57198</c:v>
              </c:pt>
              <c:pt idx="3347">
                <c:v>-123.46149</c:v>
              </c:pt>
              <c:pt idx="3348">
                <c:v>-123.35121000000001</c:v>
              </c:pt>
              <c:pt idx="3349">
                <c:v>-123.24073</c:v>
              </c:pt>
              <c:pt idx="3350">
                <c:v>-123.13045</c:v>
              </c:pt>
              <c:pt idx="3351">
                <c:v>-123.01997</c:v>
              </c:pt>
              <c:pt idx="3352">
                <c:v>-122.90968999999998</c:v>
              </c:pt>
              <c:pt idx="3353">
                <c:v>-122.79921</c:v>
              </c:pt>
              <c:pt idx="3354">
                <c:v>-122.68883</c:v>
              </c:pt>
              <c:pt idx="3355">
                <c:v>-122.57845</c:v>
              </c:pt>
              <c:pt idx="3356">
                <c:v>-122.46807000000001</c:v>
              </c:pt>
              <c:pt idx="3357">
                <c:v>-122.35769000000001</c:v>
              </c:pt>
              <c:pt idx="3358">
                <c:v>-122.24731</c:v>
              </c:pt>
              <c:pt idx="3359">
                <c:v>-122.13694</c:v>
              </c:pt>
              <c:pt idx="3360">
                <c:v>-122.02646000000001</c:v>
              </c:pt>
              <c:pt idx="3361">
                <c:v>-121.91618</c:v>
              </c:pt>
              <c:pt idx="3362">
                <c:v>-121.80571000000002</c:v>
              </c:pt>
              <c:pt idx="3363">
                <c:v>-121.69523000000001</c:v>
              </c:pt>
              <c:pt idx="3364">
                <c:v>-121.58485999999999</c:v>
              </c:pt>
              <c:pt idx="3365">
                <c:v>-121.47448</c:v>
              </c:pt>
              <c:pt idx="3366">
                <c:v>-121.36411</c:v>
              </c:pt>
              <c:pt idx="3367">
                <c:v>-121.25373</c:v>
              </c:pt>
              <c:pt idx="3368">
                <c:v>-121.14336</c:v>
              </c:pt>
              <c:pt idx="3369">
                <c:v>-121.03299</c:v>
              </c:pt>
              <c:pt idx="3370">
                <c:v>-120.92261999999999</c:v>
              </c:pt>
              <c:pt idx="3371">
                <c:v>-120.81224</c:v>
              </c:pt>
              <c:pt idx="3372">
                <c:v>-120.70187</c:v>
              </c:pt>
              <c:pt idx="3373">
                <c:v>-120.5915</c:v>
              </c:pt>
              <c:pt idx="3374">
                <c:v>-120.48103</c:v>
              </c:pt>
              <c:pt idx="3375">
                <c:v>-120.37076</c:v>
              </c:pt>
              <c:pt idx="3376">
                <c:v>-120.26018999999999</c:v>
              </c:pt>
              <c:pt idx="3377">
                <c:v>-120.14992000000001</c:v>
              </c:pt>
              <c:pt idx="3378">
                <c:v>-120.03945</c:v>
              </c:pt>
              <c:pt idx="3379">
                <c:v>-119.92919000000001</c:v>
              </c:pt>
              <c:pt idx="3380">
                <c:v>-119.81872</c:v>
              </c:pt>
              <c:pt idx="3381">
                <c:v>-119.70835</c:v>
              </c:pt>
              <c:pt idx="3382">
                <c:v>-119.59799000000001</c:v>
              </c:pt>
              <c:pt idx="3383">
                <c:v>-119.48761999999999</c:v>
              </c:pt>
              <c:pt idx="3384">
                <c:v>-119.37714999999999</c:v>
              </c:pt>
              <c:pt idx="3385">
                <c:v>-119.26679</c:v>
              </c:pt>
              <c:pt idx="3386">
                <c:v>-119.15642</c:v>
              </c:pt>
              <c:pt idx="3387">
                <c:v>-119.04595999999999</c:v>
              </c:pt>
              <c:pt idx="3388">
                <c:v>-118.9357</c:v>
              </c:pt>
              <c:pt idx="3389">
                <c:v>-118.82523</c:v>
              </c:pt>
              <c:pt idx="3390">
                <c:v>-118.71496999999999</c:v>
              </c:pt>
              <c:pt idx="3391">
                <c:v>-118.60441</c:v>
              </c:pt>
              <c:pt idx="3392">
                <c:v>-118.49405</c:v>
              </c:pt>
              <c:pt idx="3393">
                <c:v>-118.38368</c:v>
              </c:pt>
              <c:pt idx="3394">
                <c:v>-118.27332</c:v>
              </c:pt>
              <c:pt idx="3395">
                <c:v>-118.16296</c:v>
              </c:pt>
              <c:pt idx="3396">
                <c:v>-118.0526</c:v>
              </c:pt>
              <c:pt idx="3397">
                <c:v>-117.94213999999999</c:v>
              </c:pt>
              <c:pt idx="3398">
                <c:v>-117.83178000000001</c:v>
              </c:pt>
              <c:pt idx="3399">
                <c:v>-117.72133000000001</c:v>
              </c:pt>
              <c:pt idx="3400">
                <c:v>-117.61097000000001</c:v>
              </c:pt>
              <c:pt idx="3401">
                <c:v>-117.50060999999999</c:v>
              </c:pt>
              <c:pt idx="3402">
                <c:v>-117.39015000000001</c:v>
              </c:pt>
              <c:pt idx="3403">
                <c:v>-117.27979999999999</c:v>
              </c:pt>
              <c:pt idx="3404">
                <c:v>-117.16943999999999</c:v>
              </c:pt>
              <c:pt idx="3405">
                <c:v>-117.05907999999999</c:v>
              </c:pt>
              <c:pt idx="3406">
                <c:v>-116.94863000000001</c:v>
              </c:pt>
              <c:pt idx="3407">
                <c:v>-116.83827000000001</c:v>
              </c:pt>
              <c:pt idx="3408">
                <c:v>-116.72781999999999</c:v>
              </c:pt>
              <c:pt idx="3409">
                <c:v>-116.61757</c:v>
              </c:pt>
              <c:pt idx="3410">
                <c:v>-116.50711</c:v>
              </c:pt>
              <c:pt idx="3411">
                <c:v>-116.39676</c:v>
              </c:pt>
              <c:pt idx="3412">
                <c:v>-116.28631</c:v>
              </c:pt>
              <c:pt idx="3413">
                <c:v>-116.17595</c:v>
              </c:pt>
              <c:pt idx="3414">
                <c:v>-116.0656</c:v>
              </c:pt>
              <c:pt idx="3415">
                <c:v>-115.95515</c:v>
              </c:pt>
              <c:pt idx="3416">
                <c:v>-115.84479999999999</c:v>
              </c:pt>
              <c:pt idx="3417">
                <c:v>-115.73435000000001</c:v>
              </c:pt>
              <c:pt idx="3418">
                <c:v>-115.62400000000001</c:v>
              </c:pt>
              <c:pt idx="3419">
                <c:v>-115.51355</c:v>
              </c:pt>
              <c:pt idx="3420">
                <c:v>-115.4032</c:v>
              </c:pt>
              <c:pt idx="3421">
                <c:v>-115.29285999999999</c:v>
              </c:pt>
              <c:pt idx="3422">
                <c:v>-115.18251000000001</c:v>
              </c:pt>
              <c:pt idx="3423">
                <c:v>-115.07195999999999</c:v>
              </c:pt>
              <c:pt idx="3424">
                <c:v>-114.96171</c:v>
              </c:pt>
              <c:pt idx="3425">
                <c:v>-114.85127</c:v>
              </c:pt>
              <c:pt idx="3426">
                <c:v>-114.74092</c:v>
              </c:pt>
              <c:pt idx="3427">
                <c:v>-114.63048000000001</c:v>
              </c:pt>
              <c:pt idx="3428">
                <c:v>-114.52012999999999</c:v>
              </c:pt>
              <c:pt idx="3429">
                <c:v>-114.40969</c:v>
              </c:pt>
              <c:pt idx="3430">
                <c:v>-114.29934</c:v>
              </c:pt>
              <c:pt idx="3431">
                <c:v>-114.18899999999999</c:v>
              </c:pt>
              <c:pt idx="3432">
                <c:v>-114.07865000000001</c:v>
              </c:pt>
              <c:pt idx="3433">
                <c:v>-113.96811</c:v>
              </c:pt>
              <c:pt idx="3434">
                <c:v>-113.85787000000001</c:v>
              </c:pt>
              <c:pt idx="3435">
                <c:v>-113.74743000000001</c:v>
              </c:pt>
              <c:pt idx="3436">
                <c:v>-113.63709</c:v>
              </c:pt>
              <c:pt idx="3437">
                <c:v>-113.52664999999999</c:v>
              </c:pt>
              <c:pt idx="3438">
                <c:v>-113.41631000000001</c:v>
              </c:pt>
              <c:pt idx="3439">
                <c:v>-113.30587</c:v>
              </c:pt>
              <c:pt idx="3440">
                <c:v>-113.19553000000001</c:v>
              </c:pt>
              <c:pt idx="3441">
                <c:v>-113.08499</c:v>
              </c:pt>
              <c:pt idx="3442">
                <c:v>-112.97465</c:v>
              </c:pt>
              <c:pt idx="3443">
                <c:v>-112.86430999999999</c:v>
              </c:pt>
              <c:pt idx="3444">
                <c:v>-112.75387000000001</c:v>
              </c:pt>
              <c:pt idx="3445">
                <c:v>-112.64353999999999</c:v>
              </c:pt>
              <c:pt idx="3446">
                <c:v>-112.53309999999999</c:v>
              </c:pt>
              <c:pt idx="3447">
                <c:v>-112.42276</c:v>
              </c:pt>
              <c:pt idx="3448">
                <c:v>-112.31233</c:v>
              </c:pt>
              <c:pt idx="3449">
                <c:v>-112.20188999999999</c:v>
              </c:pt>
              <c:pt idx="3450">
                <c:v>-112.09156</c:v>
              </c:pt>
              <c:pt idx="3451">
                <c:v>-111.98122000000001</c:v>
              </c:pt>
              <c:pt idx="3452">
                <c:v>-111.87079</c:v>
              </c:pt>
              <c:pt idx="3453">
                <c:v>-111.76045999999999</c:v>
              </c:pt>
              <c:pt idx="3454">
                <c:v>-111.64992000000001</c:v>
              </c:pt>
              <c:pt idx="3455">
                <c:v>-111.53968999999999</c:v>
              </c:pt>
              <c:pt idx="3456">
                <c:v>-111.42926</c:v>
              </c:pt>
              <c:pt idx="3457">
                <c:v>-111.31882999999999</c:v>
              </c:pt>
              <c:pt idx="3458">
                <c:v>-111.2085</c:v>
              </c:pt>
              <c:pt idx="3459">
                <c:v>-111.09807000000001</c:v>
              </c:pt>
              <c:pt idx="3460">
                <c:v>-110.98764</c:v>
              </c:pt>
              <c:pt idx="3461">
                <c:v>-110.87741</c:v>
              </c:pt>
              <c:pt idx="3462">
                <c:v>-110.76688</c:v>
              </c:pt>
              <c:pt idx="3463">
                <c:v>-110.65655</c:v>
              </c:pt>
              <c:pt idx="3464">
                <c:v>-110.54612</c:v>
              </c:pt>
              <c:pt idx="3465">
                <c:v>-110.43579</c:v>
              </c:pt>
              <c:pt idx="3466">
                <c:v>-110.32527000000002</c:v>
              </c:pt>
              <c:pt idx="3467">
                <c:v>-110.21504</c:v>
              </c:pt>
              <c:pt idx="3468">
                <c:v>-110.10451</c:v>
              </c:pt>
              <c:pt idx="3469">
                <c:v>-109.99418999999999</c:v>
              </c:pt>
              <c:pt idx="3470">
                <c:v>-109.88376</c:v>
              </c:pt>
              <c:pt idx="3471">
                <c:v>-109.77343999999999</c:v>
              </c:pt>
              <c:pt idx="3472">
                <c:v>-109.66291</c:v>
              </c:pt>
              <c:pt idx="3473">
                <c:v>-109.55269</c:v>
              </c:pt>
              <c:pt idx="3474">
                <c:v>-109.44226</c:v>
              </c:pt>
              <c:pt idx="3475">
                <c:v>-109.33184</c:v>
              </c:pt>
              <c:pt idx="3476">
                <c:v>-109.22152</c:v>
              </c:pt>
              <c:pt idx="3477">
                <c:v>-109.11109999999999</c:v>
              </c:pt>
              <c:pt idx="3478">
                <c:v>-109.00067</c:v>
              </c:pt>
              <c:pt idx="3479">
                <c:v>-108.89035</c:v>
              </c:pt>
              <c:pt idx="3480">
                <c:v>-108.77993000000001</c:v>
              </c:pt>
              <c:pt idx="3481">
                <c:v>-108.66951</c:v>
              </c:pt>
              <c:pt idx="3482">
                <c:v>-108.55919</c:v>
              </c:pt>
              <c:pt idx="3483">
                <c:v>-108.44877</c:v>
              </c:pt>
              <c:pt idx="3484">
                <c:v>-108.33825</c:v>
              </c:pt>
              <c:pt idx="3485">
                <c:v>-108.22803999999999</c:v>
              </c:pt>
              <c:pt idx="3486">
                <c:v>-108.11752000000001</c:v>
              </c:pt>
              <c:pt idx="3487">
                <c:v>-108.0072</c:v>
              </c:pt>
              <c:pt idx="3488">
                <c:v>-107.89678000000001</c:v>
              </c:pt>
              <c:pt idx="3489">
                <c:v>-107.78647000000001</c:v>
              </c:pt>
              <c:pt idx="3490">
                <c:v>-107.67594999999999</c:v>
              </c:pt>
              <c:pt idx="3491">
                <c:v>-107.56564</c:v>
              </c:pt>
              <c:pt idx="3492">
                <c:v>-107.45522</c:v>
              </c:pt>
              <c:pt idx="3493">
                <c:v>-107.34491</c:v>
              </c:pt>
              <c:pt idx="3494">
                <c:v>-107.23439</c:v>
              </c:pt>
              <c:pt idx="3495">
                <c:v>-107.12408000000001</c:v>
              </c:pt>
              <c:pt idx="3496">
                <c:v>-107.01366</c:v>
              </c:pt>
              <c:pt idx="3497">
                <c:v>-106.90325</c:v>
              </c:pt>
              <c:pt idx="3498">
                <c:v>-106.79293999999999</c:v>
              </c:pt>
              <c:pt idx="3499">
                <c:v>-106.68253</c:v>
              </c:pt>
              <c:pt idx="3500">
                <c:v>-106.57212</c:v>
              </c:pt>
              <c:pt idx="3501">
                <c:v>-106.46171000000001</c:v>
              </c:pt>
              <c:pt idx="3502">
                <c:v>-106.35130000000001</c:v>
              </c:pt>
              <c:pt idx="3503">
                <c:v>-106.24099</c:v>
              </c:pt>
              <c:pt idx="3504">
                <c:v>-106.13048000000001</c:v>
              </c:pt>
              <c:pt idx="3505">
                <c:v>-106.02027</c:v>
              </c:pt>
              <c:pt idx="3506">
                <c:v>-105.90986000000001</c:v>
              </c:pt>
              <c:pt idx="3507">
                <c:v>-105.79935</c:v>
              </c:pt>
              <c:pt idx="3508">
                <c:v>-105.68903999999999</c:v>
              </c:pt>
              <c:pt idx="3509">
                <c:v>-105.57863999999999</c:v>
              </c:pt>
              <c:pt idx="3510">
                <c:v>-105.46823000000001</c:v>
              </c:pt>
              <c:pt idx="3511">
                <c:v>-105.35782</c:v>
              </c:pt>
              <c:pt idx="3512">
                <c:v>-105.24752000000001</c:v>
              </c:pt>
              <c:pt idx="3513">
                <c:v>-105.13711000000001</c:v>
              </c:pt>
              <c:pt idx="3514">
                <c:v>-105.02671000000001</c:v>
              </c:pt>
              <c:pt idx="3515">
                <c:v>-104.91619999999999</c:v>
              </c:pt>
              <c:pt idx="3516">
                <c:v>-104.806</c:v>
              </c:pt>
              <c:pt idx="3517">
                <c:v>-104.69549999999998</c:v>
              </c:pt>
              <c:pt idx="3518">
                <c:v>-104.58509000000001</c:v>
              </c:pt>
              <c:pt idx="3519">
                <c:v>-104.47469000000001</c:v>
              </c:pt>
              <c:pt idx="3520">
                <c:v>-104.36439</c:v>
              </c:pt>
              <c:pt idx="3521">
                <c:v>-104.25389000000001</c:v>
              </c:pt>
              <c:pt idx="3522">
                <c:v>-104.14359</c:v>
              </c:pt>
              <c:pt idx="3523">
                <c:v>-104.03308</c:v>
              </c:pt>
              <c:pt idx="3524">
                <c:v>-103.92277999999999</c:v>
              </c:pt>
              <c:pt idx="3525">
                <c:v>-103.81237999999999</c:v>
              </c:pt>
              <c:pt idx="3526">
                <c:v>-103.70199</c:v>
              </c:pt>
              <c:pt idx="3527">
                <c:v>-103.59159</c:v>
              </c:pt>
              <c:pt idx="3528">
                <c:v>-103.48129</c:v>
              </c:pt>
              <c:pt idx="3529">
                <c:v>-103.37079</c:v>
              </c:pt>
              <c:pt idx="3530">
                <c:v>-103.26039000000002</c:v>
              </c:pt>
              <c:pt idx="3531">
                <c:v>-103.15</c:v>
              </c:pt>
              <c:pt idx="3532">
                <c:v>-103.0397</c:v>
              </c:pt>
              <c:pt idx="3533">
                <c:v>-102.9293</c:v>
              </c:pt>
              <c:pt idx="3534">
                <c:v>-102.81881</c:v>
              </c:pt>
              <c:pt idx="3535">
                <c:v>-102.70861000000001</c:v>
              </c:pt>
              <c:pt idx="3536">
                <c:v>-102.59812000000001</c:v>
              </c:pt>
              <c:pt idx="3537">
                <c:v>-102.48773</c:v>
              </c:pt>
              <c:pt idx="3538">
                <c:v>-102.37723</c:v>
              </c:pt>
              <c:pt idx="3539">
                <c:v>-102.26693999999999</c:v>
              </c:pt>
              <c:pt idx="3540">
                <c:v>-102.15655000000001</c:v>
              </c:pt>
              <c:pt idx="3541">
                <c:v>-102.04615000000001</c:v>
              </c:pt>
              <c:pt idx="3542">
                <c:v>-101.93566000000001</c:v>
              </c:pt>
              <c:pt idx="3543">
                <c:v>-101.82537000000001</c:v>
              </c:pt>
              <c:pt idx="3544">
                <c:v>-101.71498</c:v>
              </c:pt>
              <c:pt idx="3545">
                <c:v>-101.60459</c:v>
              </c:pt>
              <c:pt idx="3546">
                <c:v>-101.4941</c:v>
              </c:pt>
              <c:pt idx="3547">
                <c:v>-101.38381000000001</c:v>
              </c:pt>
              <c:pt idx="3548">
                <c:v>-101.27341999999999</c:v>
              </c:pt>
              <c:pt idx="3549">
                <c:v>-101.16302999999999</c:v>
              </c:pt>
              <c:pt idx="3550">
                <c:v>-101.05265</c:v>
              </c:pt>
              <c:pt idx="3551">
                <c:v>-100.94226</c:v>
              </c:pt>
              <c:pt idx="3552">
                <c:v>-100.83187000000001</c:v>
              </c:pt>
              <c:pt idx="3553">
                <c:v>-100.72147999999999</c:v>
              </c:pt>
              <c:pt idx="3554">
                <c:v>-100.61110000000001</c:v>
              </c:pt>
              <c:pt idx="3555">
                <c:v>-100.50061000000001</c:v>
              </c:pt>
              <c:pt idx="3556">
                <c:v>-100.39032999999999</c:v>
              </c:pt>
              <c:pt idx="3557">
                <c:v>-100.27994</c:v>
              </c:pt>
              <c:pt idx="3558">
                <c:v>-100.16956</c:v>
              </c:pt>
              <c:pt idx="3559">
                <c:v>-100.05908000000001</c:v>
              </c:pt>
              <c:pt idx="3560">
                <c:v>-99.948689999999999</c:v>
              </c:pt>
              <c:pt idx="3561">
                <c:v>-99.838210000000004</c:v>
              </c:pt>
              <c:pt idx="3562">
                <c:v>-99.728030000000004</c:v>
              </c:pt>
              <c:pt idx="3563">
                <c:v>-99.617649999999998</c:v>
              </c:pt>
              <c:pt idx="3564">
                <c:v>-99.507159999999999</c:v>
              </c:pt>
              <c:pt idx="3565">
                <c:v>-99.396779999999993</c:v>
              </c:pt>
              <c:pt idx="3566">
                <c:v>-99.286299999999997</c:v>
              </c:pt>
              <c:pt idx="3567">
                <c:v>-99.176019999999994</c:v>
              </c:pt>
              <c:pt idx="3568">
                <c:v>-99.065640000000002</c:v>
              </c:pt>
              <c:pt idx="3569">
                <c:v>-98.955259999999996</c:v>
              </c:pt>
              <c:pt idx="3570">
                <c:v>-98.844790000000003</c:v>
              </c:pt>
              <c:pt idx="3571">
                <c:v>-98.734409999999997</c:v>
              </c:pt>
              <c:pt idx="3572">
                <c:v>-98.624029999999991</c:v>
              </c:pt>
              <c:pt idx="3573">
                <c:v>-98.513649999999998</c:v>
              </c:pt>
              <c:pt idx="3574">
                <c:v>-98.403180000000006</c:v>
              </c:pt>
              <c:pt idx="3575">
                <c:v>-98.292899999999989</c:v>
              </c:pt>
              <c:pt idx="3576">
                <c:v>-98.182519999999997</c:v>
              </c:pt>
              <c:pt idx="3577">
                <c:v>-98.072050000000004</c:v>
              </c:pt>
              <c:pt idx="3578">
                <c:v>-97.961770000000001</c:v>
              </c:pt>
              <c:pt idx="3579">
                <c:v>-97.851300000000009</c:v>
              </c:pt>
              <c:pt idx="3580">
                <c:v>-97.740920000000003</c:v>
              </c:pt>
              <c:pt idx="3581">
                <c:v>-97.630449999999996</c:v>
              </c:pt>
              <c:pt idx="3582">
                <c:v>-97.520079999999993</c:v>
              </c:pt>
              <c:pt idx="3583">
                <c:v>-97.40970999999999</c:v>
              </c:pt>
              <c:pt idx="3584">
                <c:v>-97.299329999999998</c:v>
              </c:pt>
              <c:pt idx="3585">
                <c:v>-97.188960000000009</c:v>
              </c:pt>
              <c:pt idx="3586">
                <c:v>-97.078590000000005</c:v>
              </c:pt>
              <c:pt idx="3587">
                <c:v>-96.968220000000002</c:v>
              </c:pt>
              <c:pt idx="3588">
                <c:v>-96.857749999999996</c:v>
              </c:pt>
              <c:pt idx="3589">
                <c:v>-96.747479999999996</c:v>
              </c:pt>
              <c:pt idx="3590">
                <c:v>-96.637010000000004</c:v>
              </c:pt>
              <c:pt idx="3591">
                <c:v>-96.526639999999986</c:v>
              </c:pt>
              <c:pt idx="3592">
                <c:v>-96.416169999999994</c:v>
              </c:pt>
              <c:pt idx="3593">
                <c:v>-96.305810000000008</c:v>
              </c:pt>
              <c:pt idx="3594">
                <c:v>-96.195340000000016</c:v>
              </c:pt>
              <c:pt idx="3595">
                <c:v>-96.085070000000002</c:v>
              </c:pt>
              <c:pt idx="3596">
                <c:v>-95.974709999999988</c:v>
              </c:pt>
              <c:pt idx="3597">
                <c:v>-95.864239999999995</c:v>
              </c:pt>
              <c:pt idx="3598">
                <c:v>-95.753870000000006</c:v>
              </c:pt>
              <c:pt idx="3599">
                <c:v>-95.643410000000003</c:v>
              </c:pt>
              <c:pt idx="3600">
                <c:v>-95.53304</c:v>
              </c:pt>
              <c:pt idx="3601">
                <c:v>-95.422579999999996</c:v>
              </c:pt>
              <c:pt idx="3602">
                <c:v>-95.31232</c:v>
              </c:pt>
              <c:pt idx="3603">
                <c:v>-95.201850000000007</c:v>
              </c:pt>
              <c:pt idx="3604">
                <c:v>-95.091490000000007</c:v>
              </c:pt>
              <c:pt idx="3605">
                <c:v>-94.981130000000007</c:v>
              </c:pt>
              <c:pt idx="3606">
                <c:v>-94.870670000000004</c:v>
              </c:pt>
              <c:pt idx="3607">
                <c:v>-94.760310000000004</c:v>
              </c:pt>
              <c:pt idx="3608">
                <c:v>-94.649850000000001</c:v>
              </c:pt>
              <c:pt idx="3609">
                <c:v>-94.539590000000004</c:v>
              </c:pt>
              <c:pt idx="3610">
                <c:v>-94.429129999999986</c:v>
              </c:pt>
              <c:pt idx="3611">
                <c:v>-94.318770000000001</c:v>
              </c:pt>
              <c:pt idx="3612">
                <c:v>-94.208309999999997</c:v>
              </c:pt>
              <c:pt idx="3613">
                <c:v>-94.097949999999997</c:v>
              </c:pt>
              <c:pt idx="3614">
                <c:v>-93.987590000000012</c:v>
              </c:pt>
              <c:pt idx="3615">
                <c:v>-93.877129999999994</c:v>
              </c:pt>
              <c:pt idx="3616">
                <c:v>-93.76688</c:v>
              </c:pt>
              <c:pt idx="3617">
                <c:v>-93.656420000000011</c:v>
              </c:pt>
              <c:pt idx="3618">
                <c:v>-93.546060000000011</c:v>
              </c:pt>
              <c:pt idx="3619">
                <c:v>-93.435609999999997</c:v>
              </c:pt>
              <c:pt idx="3620">
                <c:v>-93.325249999999997</c:v>
              </c:pt>
              <c:pt idx="3621">
                <c:v>-93.2149</c:v>
              </c:pt>
              <c:pt idx="3622">
                <c:v>-93.104440000000011</c:v>
              </c:pt>
              <c:pt idx="3623">
                <c:v>-92.99409</c:v>
              </c:pt>
              <c:pt idx="3624">
                <c:v>-92.883740000000003</c:v>
              </c:pt>
              <c:pt idx="3625">
                <c:v>-92.773380000000003</c:v>
              </c:pt>
              <c:pt idx="3626">
                <c:v>-92.662930000000003</c:v>
              </c:pt>
              <c:pt idx="3627">
                <c:v>-92.552480000000003</c:v>
              </c:pt>
              <c:pt idx="3628">
                <c:v>-92.442029999999988</c:v>
              </c:pt>
              <c:pt idx="3629">
                <c:v>-92.331679999999992</c:v>
              </c:pt>
              <c:pt idx="3630">
                <c:v>-92.221329999999995</c:v>
              </c:pt>
              <c:pt idx="3631">
                <c:v>-92.110880000000009</c:v>
              </c:pt>
              <c:pt idx="3632">
                <c:v>-92.000529999999998</c:v>
              </c:pt>
              <c:pt idx="3633">
                <c:v>-91.890180000000001</c:v>
              </c:pt>
              <c:pt idx="3634">
                <c:v>-91.77982999999999</c:v>
              </c:pt>
              <c:pt idx="3635">
                <c:v>-91.669380000000004</c:v>
              </c:pt>
              <c:pt idx="3636">
                <c:v>-91.559030000000007</c:v>
              </c:pt>
              <c:pt idx="3637">
                <c:v>-91.44859000000001</c:v>
              </c:pt>
              <c:pt idx="3638">
                <c:v>-91.33814000000001</c:v>
              </c:pt>
              <c:pt idx="3639">
                <c:v>-91.227789999999999</c:v>
              </c:pt>
              <c:pt idx="3640">
                <c:v>-91.117349999999988</c:v>
              </c:pt>
              <c:pt idx="3641">
                <c:v>-91.007000000000005</c:v>
              </c:pt>
              <c:pt idx="3642">
                <c:v>-90.896559999999994</c:v>
              </c:pt>
              <c:pt idx="3643">
                <c:v>-90.78631</c:v>
              </c:pt>
              <c:pt idx="3644">
                <c:v>-90.675869999999989</c:v>
              </c:pt>
              <c:pt idx="3645">
                <c:v>-90.565430000000006</c:v>
              </c:pt>
              <c:pt idx="3646">
                <c:v>-90.455079999999995</c:v>
              </c:pt>
              <c:pt idx="3647">
                <c:v>-90.344639999999998</c:v>
              </c:pt>
              <c:pt idx="3648">
                <c:v>-90.23429999999999</c:v>
              </c:pt>
              <c:pt idx="3649">
                <c:v>-90.123959999999997</c:v>
              </c:pt>
              <c:pt idx="3650">
                <c:v>-90.01352</c:v>
              </c:pt>
              <c:pt idx="3651">
                <c:v>-89.903069999999985</c:v>
              </c:pt>
              <c:pt idx="3652">
                <c:v>-89.792630000000003</c:v>
              </c:pt>
              <c:pt idx="3653">
                <c:v>-89.682290000000009</c:v>
              </c:pt>
              <c:pt idx="3654">
                <c:v>-89.571859999999987</c:v>
              </c:pt>
              <c:pt idx="3655">
                <c:v>-89.461619999999996</c:v>
              </c:pt>
              <c:pt idx="3656">
                <c:v>-89.351179999999999</c:v>
              </c:pt>
              <c:pt idx="3657">
                <c:v>-89.240740000000002</c:v>
              </c:pt>
              <c:pt idx="3658">
                <c:v>-89.130399999999995</c:v>
              </c:pt>
              <c:pt idx="3659">
                <c:v>-89.019970000000001</c:v>
              </c:pt>
              <c:pt idx="3660">
                <c:v>-88.909629999999993</c:v>
              </c:pt>
              <c:pt idx="3661">
                <c:v>-88.799089999999993</c:v>
              </c:pt>
              <c:pt idx="3662">
                <c:v>-88.688760000000002</c:v>
              </c:pt>
              <c:pt idx="3663">
                <c:v>-88.578419999999994</c:v>
              </c:pt>
              <c:pt idx="3664">
                <c:v>-88.467990000000015</c:v>
              </c:pt>
              <c:pt idx="3665">
                <c:v>-88.357550000000003</c:v>
              </c:pt>
              <c:pt idx="3666">
                <c:v>-88.247119999999995</c:v>
              </c:pt>
              <c:pt idx="3667">
                <c:v>-88.136790000000005</c:v>
              </c:pt>
              <c:pt idx="3668">
                <c:v>-88.026449999999997</c:v>
              </c:pt>
              <c:pt idx="3669">
                <c:v>-87.916020000000003</c:v>
              </c:pt>
              <c:pt idx="3670">
                <c:v>-87.805589999999995</c:v>
              </c:pt>
              <c:pt idx="3671">
                <c:v>-87.69525999999999</c:v>
              </c:pt>
              <c:pt idx="3672">
                <c:v>-87.58493</c:v>
              </c:pt>
              <c:pt idx="3673">
                <c:v>-87.474500000000006</c:v>
              </c:pt>
              <c:pt idx="3674">
                <c:v>-87.364069999999998</c:v>
              </c:pt>
              <c:pt idx="3675">
                <c:v>-87.253739999999993</c:v>
              </c:pt>
              <c:pt idx="3676">
                <c:v>-87.143310000000014</c:v>
              </c:pt>
              <c:pt idx="3677">
                <c:v>-87.032880000000006</c:v>
              </c:pt>
              <c:pt idx="3678">
                <c:v>-86.922449999999998</c:v>
              </c:pt>
              <c:pt idx="3679">
                <c:v>-86.812129999999996</c:v>
              </c:pt>
              <c:pt idx="3680">
                <c:v>-86.701800000000006</c:v>
              </c:pt>
              <c:pt idx="3681">
                <c:v>-86.591269999999994</c:v>
              </c:pt>
              <c:pt idx="3682">
                <c:v>-86.480949999999993</c:v>
              </c:pt>
              <c:pt idx="3683">
                <c:v>-86.370519999999999</c:v>
              </c:pt>
              <c:pt idx="3684">
                <c:v>-86.260099999999994</c:v>
              </c:pt>
              <c:pt idx="3685">
                <c:v>-86.14976999999999</c:v>
              </c:pt>
              <c:pt idx="3686">
                <c:v>-86.039349999999999</c:v>
              </c:pt>
              <c:pt idx="3687">
                <c:v>-85.928920000000005</c:v>
              </c:pt>
              <c:pt idx="3688">
                <c:v>-85.8185</c:v>
              </c:pt>
              <c:pt idx="3689">
                <c:v>-85.708179999999999</c:v>
              </c:pt>
              <c:pt idx="3690">
                <c:v>-85.597750000000005</c:v>
              </c:pt>
              <c:pt idx="3691">
                <c:v>-85.48733</c:v>
              </c:pt>
              <c:pt idx="3692">
                <c:v>-85.377009999999999</c:v>
              </c:pt>
              <c:pt idx="3693">
                <c:v>-85.26648999999999</c:v>
              </c:pt>
              <c:pt idx="3694">
                <c:v>-85.156170000000003</c:v>
              </c:pt>
              <c:pt idx="3695">
                <c:v>-85.045750000000012</c:v>
              </c:pt>
              <c:pt idx="3696">
                <c:v>-84.935330000000008</c:v>
              </c:pt>
              <c:pt idx="3697">
                <c:v>-84.825009999999992</c:v>
              </c:pt>
              <c:pt idx="3698">
                <c:v>-84.714590000000001</c:v>
              </c:pt>
              <c:pt idx="3699">
                <c:v>-84.604169999999996</c:v>
              </c:pt>
              <c:pt idx="3700">
                <c:v>-84.493759999999995</c:v>
              </c:pt>
              <c:pt idx="3701">
                <c:v>-84.383439999999993</c:v>
              </c:pt>
              <c:pt idx="3702">
                <c:v>-84.273020000000002</c:v>
              </c:pt>
              <c:pt idx="3703">
                <c:v>-84.162599999999998</c:v>
              </c:pt>
              <c:pt idx="3704">
                <c:v>-84.05219000000001</c:v>
              </c:pt>
              <c:pt idx="3705">
                <c:v>-83.94177000000002</c:v>
              </c:pt>
              <c:pt idx="3706">
                <c:v>-83.831459999999993</c:v>
              </c:pt>
              <c:pt idx="3707">
                <c:v>-83.721040000000002</c:v>
              </c:pt>
              <c:pt idx="3708">
                <c:v>-83.61063</c:v>
              </c:pt>
              <c:pt idx="3709">
                <c:v>-83.500320000000002</c:v>
              </c:pt>
              <c:pt idx="3710">
                <c:v>-83.389799999999994</c:v>
              </c:pt>
              <c:pt idx="3711">
                <c:v>-83.27949000000001</c:v>
              </c:pt>
              <c:pt idx="3712">
                <c:v>-83.169079999999994</c:v>
              </c:pt>
              <c:pt idx="3713">
                <c:v>-83.058669999999992</c:v>
              </c:pt>
              <c:pt idx="3714">
                <c:v>-82.948259999999991</c:v>
              </c:pt>
              <c:pt idx="3715">
                <c:v>-82.837950000000006</c:v>
              </c:pt>
              <c:pt idx="3716">
                <c:v>-82.727540000000005</c:v>
              </c:pt>
              <c:pt idx="3717">
                <c:v>-82.617130000000003</c:v>
              </c:pt>
              <c:pt idx="3718">
                <c:v>-82.506720000000001</c:v>
              </c:pt>
              <c:pt idx="3719">
                <c:v>-82.39631</c:v>
              </c:pt>
              <c:pt idx="3720">
                <c:v>-82.286000000000001</c:v>
              </c:pt>
              <c:pt idx="3721">
                <c:v>-82.175489999999996</c:v>
              </c:pt>
              <c:pt idx="3722">
                <c:v>-82.065179999999998</c:v>
              </c:pt>
              <c:pt idx="3723">
                <c:v>-81.954679999999996</c:v>
              </c:pt>
              <c:pt idx="3724">
                <c:v>-81.844369999999998</c:v>
              </c:pt>
              <c:pt idx="3725">
                <c:v>-81.734059999999999</c:v>
              </c:pt>
              <c:pt idx="3726">
                <c:v>-81.623560000000012</c:v>
              </c:pt>
              <c:pt idx="3727">
                <c:v>-81.513250000000014</c:v>
              </c:pt>
              <c:pt idx="3728">
                <c:v>-81.402750000000012</c:v>
              </c:pt>
              <c:pt idx="3729">
                <c:v>-81.292450000000002</c:v>
              </c:pt>
              <c:pt idx="3730">
                <c:v>-81.182040000000001</c:v>
              </c:pt>
              <c:pt idx="3731">
                <c:v>-81.071640000000002</c:v>
              </c:pt>
              <c:pt idx="3732">
                <c:v>-80.961240000000004</c:v>
              </c:pt>
              <c:pt idx="3733">
                <c:v>-80.850830000000002</c:v>
              </c:pt>
              <c:pt idx="3734">
                <c:v>-80.740430000000003</c:v>
              </c:pt>
              <c:pt idx="3735">
                <c:v>-80.630130000000008</c:v>
              </c:pt>
              <c:pt idx="3736">
                <c:v>-80.519630000000006</c:v>
              </c:pt>
              <c:pt idx="3737">
                <c:v>-80.409330000000011</c:v>
              </c:pt>
              <c:pt idx="3738">
                <c:v>-80.298930000000013</c:v>
              </c:pt>
              <c:pt idx="3739">
                <c:v>-80.18853</c:v>
              </c:pt>
              <c:pt idx="3740">
                <c:v>-80.078129999999987</c:v>
              </c:pt>
              <c:pt idx="3741">
                <c:v>-79.967729999999989</c:v>
              </c:pt>
              <c:pt idx="3742">
                <c:v>-79.857330000000005</c:v>
              </c:pt>
              <c:pt idx="3743">
                <c:v>-79.747039999999998</c:v>
              </c:pt>
              <c:pt idx="3744">
                <c:v>-79.636539999999997</c:v>
              </c:pt>
              <c:pt idx="3745">
                <c:v>-79.526039999999995</c:v>
              </c:pt>
              <c:pt idx="3746">
                <c:v>-79.415650000000014</c:v>
              </c:pt>
              <c:pt idx="3747">
                <c:v>-79.305250000000001</c:v>
              </c:pt>
              <c:pt idx="3748">
                <c:v>-79.194960000000009</c:v>
              </c:pt>
              <c:pt idx="3749">
                <c:v>-79.084460000000007</c:v>
              </c:pt>
              <c:pt idx="3750">
                <c:v>-78.974170000000001</c:v>
              </c:pt>
              <c:pt idx="3751">
                <c:v>-78.863769999999988</c:v>
              </c:pt>
              <c:pt idx="3752">
                <c:v>-78.753379999999993</c:v>
              </c:pt>
              <c:pt idx="3753">
                <c:v>-78.642989999999998</c:v>
              </c:pt>
              <c:pt idx="3754">
                <c:v>-78.532489999999996</c:v>
              </c:pt>
              <c:pt idx="3755">
                <c:v>-78.422200000000004</c:v>
              </c:pt>
              <c:pt idx="3756">
                <c:v>-78.311809999999994</c:v>
              </c:pt>
              <c:pt idx="3757">
                <c:v>-78.201420000000013</c:v>
              </c:pt>
              <c:pt idx="3758">
                <c:v>-78.091030000000003</c:v>
              </c:pt>
              <c:pt idx="3759">
                <c:v>-77.980640000000008</c:v>
              </c:pt>
              <c:pt idx="3760">
                <c:v>-77.870149999999995</c:v>
              </c:pt>
              <c:pt idx="3761">
                <c:v>-77.75976</c:v>
              </c:pt>
              <c:pt idx="3762">
                <c:v>-77.649370000000005</c:v>
              </c:pt>
              <c:pt idx="3763">
                <c:v>-77.538979999999995</c:v>
              </c:pt>
              <c:pt idx="3764">
                <c:v>-77.428600000000003</c:v>
              </c:pt>
              <c:pt idx="3765">
                <c:v>-77.318209999999993</c:v>
              </c:pt>
              <c:pt idx="3766">
                <c:v>-77.207819999999998</c:v>
              </c:pt>
              <c:pt idx="3767">
                <c:v>-77.097539999999995</c:v>
              </c:pt>
              <c:pt idx="3768">
                <c:v>-76.987049999999996</c:v>
              </c:pt>
              <c:pt idx="3769">
                <c:v>-76.876660000000001</c:v>
              </c:pt>
              <c:pt idx="3770">
                <c:v>-76.766280000000009</c:v>
              </c:pt>
              <c:pt idx="3771">
                <c:v>-76.655890000000014</c:v>
              </c:pt>
              <c:pt idx="3772">
                <c:v>-76.545410000000004</c:v>
              </c:pt>
              <c:pt idx="3773">
                <c:v>-76.435029999999998</c:v>
              </c:pt>
              <c:pt idx="3774">
                <c:v>-76.324639999999988</c:v>
              </c:pt>
              <c:pt idx="3775">
                <c:v>-76.214259999999996</c:v>
              </c:pt>
              <c:pt idx="3776">
                <c:v>-76.103880000000004</c:v>
              </c:pt>
              <c:pt idx="3777">
                <c:v>-75.993499999999997</c:v>
              </c:pt>
              <c:pt idx="3778">
                <c:v>-75.883020000000002</c:v>
              </c:pt>
              <c:pt idx="3779">
                <c:v>-75.772739999999999</c:v>
              </c:pt>
              <c:pt idx="3780">
                <c:v>-75.662359999999993</c:v>
              </c:pt>
              <c:pt idx="3781">
                <c:v>-75.551879999999997</c:v>
              </c:pt>
              <c:pt idx="3782">
                <c:v>-75.441600000000008</c:v>
              </c:pt>
              <c:pt idx="3783">
                <c:v>-75.331119999999999</c:v>
              </c:pt>
              <c:pt idx="3784">
                <c:v>-75.220640000000003</c:v>
              </c:pt>
              <c:pt idx="3785">
                <c:v>-75.11036</c:v>
              </c:pt>
              <c:pt idx="3786">
                <c:v>-74.999980000000008</c:v>
              </c:pt>
              <c:pt idx="3787">
                <c:v>-74.889510000000001</c:v>
              </c:pt>
              <c:pt idx="3788">
                <c:v>-74.779130000000009</c:v>
              </c:pt>
              <c:pt idx="3789">
                <c:v>-74.668750000000003</c:v>
              </c:pt>
              <c:pt idx="3790">
                <c:v>-74.558379999999985</c:v>
              </c:pt>
              <c:pt idx="3791">
                <c:v>-74.447999999999993</c:v>
              </c:pt>
              <c:pt idx="3792">
                <c:v>-74.337530000000001</c:v>
              </c:pt>
              <c:pt idx="3793">
                <c:v>-74.227159999999998</c:v>
              </c:pt>
              <c:pt idx="3794">
                <c:v>-74.116789999999995</c:v>
              </c:pt>
              <c:pt idx="3795">
                <c:v>-74.006349999999998</c:v>
              </c:pt>
              <c:pt idx="3796">
                <c:v>-73.896000000000001</c:v>
              </c:pt>
              <c:pt idx="3797">
                <c:v>-73.785650000000004</c:v>
              </c:pt>
              <c:pt idx="3798">
                <c:v>-73.675209999999993</c:v>
              </c:pt>
              <c:pt idx="3799">
                <c:v>-73.564859999999996</c:v>
              </c:pt>
              <c:pt idx="3800">
                <c:v>-73.454310000000007</c:v>
              </c:pt>
              <c:pt idx="3801">
                <c:v>-73.343969999999999</c:v>
              </c:pt>
              <c:pt idx="3802">
                <c:v>-73.233620000000002</c:v>
              </c:pt>
              <c:pt idx="3803">
                <c:v>-73.123179999999991</c:v>
              </c:pt>
              <c:pt idx="3804">
                <c:v>-73.012830000000008</c:v>
              </c:pt>
              <c:pt idx="3805">
                <c:v>-72.902479999999997</c:v>
              </c:pt>
              <c:pt idx="3806">
                <c:v>-72.792030000000011</c:v>
              </c:pt>
              <c:pt idx="3807">
                <c:v>-72.68159</c:v>
              </c:pt>
              <c:pt idx="3808">
                <c:v>-72.571240000000003</c:v>
              </c:pt>
              <c:pt idx="3809">
                <c:v>-72.460800000000006</c:v>
              </c:pt>
              <c:pt idx="3810">
                <c:v>-72.350459999999998</c:v>
              </c:pt>
              <c:pt idx="3811">
                <c:v>-72.240110000000001</c:v>
              </c:pt>
              <c:pt idx="3812">
                <c:v>-72.129670000000004</c:v>
              </c:pt>
              <c:pt idx="3813">
                <c:v>-72.01930999999999</c:v>
              </c:pt>
              <c:pt idx="3814">
                <c:v>-71.908869999999993</c:v>
              </c:pt>
              <c:pt idx="3815">
                <c:v>-71.798420000000007</c:v>
              </c:pt>
              <c:pt idx="3816">
                <c:v>-71.688079999999999</c:v>
              </c:pt>
              <c:pt idx="3817">
                <c:v>-71.577640000000002</c:v>
              </c:pt>
              <c:pt idx="3818">
                <c:v>-71.467290000000006</c:v>
              </c:pt>
              <c:pt idx="3819">
                <c:v>-71.356940000000009</c:v>
              </c:pt>
              <c:pt idx="3820">
                <c:v>-71.246400000000008</c:v>
              </c:pt>
              <c:pt idx="3821">
                <c:v>-71.136050000000012</c:v>
              </c:pt>
              <c:pt idx="3822">
                <c:v>-71.025710000000004</c:v>
              </c:pt>
              <c:pt idx="3823">
                <c:v>-70.915270000000007</c:v>
              </c:pt>
              <c:pt idx="3824">
                <c:v>-70.804919999999996</c:v>
              </c:pt>
              <c:pt idx="3825">
                <c:v>-70.694580000000002</c:v>
              </c:pt>
              <c:pt idx="3826">
                <c:v>-70.584029999999998</c:v>
              </c:pt>
              <c:pt idx="3827">
                <c:v>-70.473680000000002</c:v>
              </c:pt>
              <c:pt idx="3828">
                <c:v>-70.363349999999997</c:v>
              </c:pt>
              <c:pt idx="3829">
                <c:v>-70.252899999999997</c:v>
              </c:pt>
              <c:pt idx="3830">
                <c:v>-70.142550000000014</c:v>
              </c:pt>
              <c:pt idx="3831">
                <c:v>-70.032199999999989</c:v>
              </c:pt>
              <c:pt idx="3832">
                <c:v>-69.921670000000006</c:v>
              </c:pt>
              <c:pt idx="3833">
                <c:v>-69.811319999999995</c:v>
              </c:pt>
              <c:pt idx="3834">
                <c:v>-69.700980000000001</c:v>
              </c:pt>
              <c:pt idx="3835">
                <c:v>-69.590530000000001</c:v>
              </c:pt>
              <c:pt idx="3836">
                <c:v>-69.480189999999993</c:v>
              </c:pt>
              <c:pt idx="3837">
                <c:v>-69.36985</c:v>
              </c:pt>
              <c:pt idx="3838">
                <c:v>-69.259299999999996</c:v>
              </c:pt>
              <c:pt idx="3839">
                <c:v>-69.148959999999988</c:v>
              </c:pt>
              <c:pt idx="3840">
                <c:v>-69.038519999999991</c:v>
              </c:pt>
              <c:pt idx="3841">
                <c:v>-68.928169999999994</c:v>
              </c:pt>
              <c:pt idx="3842">
                <c:v>-68.817830000000001</c:v>
              </c:pt>
              <c:pt idx="3843">
                <c:v>-68.70729</c:v>
              </c:pt>
              <c:pt idx="3844">
                <c:v>-68.596950000000007</c:v>
              </c:pt>
              <c:pt idx="3845">
                <c:v>-68.486599999999996</c:v>
              </c:pt>
              <c:pt idx="3846">
                <c:v>-68.376159999999999</c:v>
              </c:pt>
              <c:pt idx="3847">
                <c:v>-68.265819999999991</c:v>
              </c:pt>
              <c:pt idx="3848">
                <c:v>-68.155370000000005</c:v>
              </c:pt>
              <c:pt idx="3849">
                <c:v>-68.044930000000008</c:v>
              </c:pt>
              <c:pt idx="3850">
                <c:v>-67.934580000000011</c:v>
              </c:pt>
              <c:pt idx="3851">
                <c:v>-67.824249999999992</c:v>
              </c:pt>
              <c:pt idx="3852">
                <c:v>-67.713799999999992</c:v>
              </c:pt>
              <c:pt idx="3853">
                <c:v>-67.603350000000006</c:v>
              </c:pt>
              <c:pt idx="3854">
                <c:v>-67.493020000000001</c:v>
              </c:pt>
              <c:pt idx="3855">
                <c:v>-67.382570000000001</c:v>
              </c:pt>
              <c:pt idx="3856">
                <c:v>-67.272229999999993</c:v>
              </c:pt>
              <c:pt idx="3857">
                <c:v>-67.161879999999996</c:v>
              </c:pt>
              <c:pt idx="3858">
                <c:v>-67.051350000000014</c:v>
              </c:pt>
              <c:pt idx="3859">
                <c:v>-66.941010000000006</c:v>
              </c:pt>
              <c:pt idx="3860">
                <c:v>-66.830659999999995</c:v>
              </c:pt>
              <c:pt idx="3861">
                <c:v>-66.720220000000012</c:v>
              </c:pt>
              <c:pt idx="3862">
                <c:v>-66.609880000000004</c:v>
              </c:pt>
              <c:pt idx="3863">
                <c:v>-66.499439999999993</c:v>
              </c:pt>
              <c:pt idx="3864">
                <c:v>-66.388999999999996</c:v>
              </c:pt>
              <c:pt idx="3865">
                <c:v>-66.278660000000002</c:v>
              </c:pt>
              <c:pt idx="3866">
                <c:v>-66.168319999999994</c:v>
              </c:pt>
              <c:pt idx="3867">
                <c:v>-66.057770000000005</c:v>
              </c:pt>
              <c:pt idx="3868">
                <c:v>-65.947429999999997</c:v>
              </c:pt>
              <c:pt idx="3869">
                <c:v>-65.837090000000003</c:v>
              </c:pt>
              <c:pt idx="3870">
                <c:v>-65.726650000000006</c:v>
              </c:pt>
              <c:pt idx="3871">
                <c:v>-65.616309999999999</c:v>
              </c:pt>
              <c:pt idx="3872">
                <c:v>-65.505870000000002</c:v>
              </c:pt>
              <c:pt idx="3873">
                <c:v>-65.395420000000001</c:v>
              </c:pt>
              <c:pt idx="3874">
                <c:v>-65.285089999999997</c:v>
              </c:pt>
              <c:pt idx="3875">
                <c:v>-65.17474</c:v>
              </c:pt>
              <c:pt idx="3876">
                <c:v>-65.0642</c:v>
              </c:pt>
              <c:pt idx="3877">
                <c:v>-64.953859999999992</c:v>
              </c:pt>
              <c:pt idx="3878">
                <c:v>-64.843530000000001</c:v>
              </c:pt>
              <c:pt idx="3879">
                <c:v>-64.733080000000001</c:v>
              </c:pt>
              <c:pt idx="3880">
                <c:v>-64.622640000000004</c:v>
              </c:pt>
              <c:pt idx="3881">
                <c:v>-64.512309999999999</c:v>
              </c:pt>
              <c:pt idx="3882">
                <c:v>-64.401960000000003</c:v>
              </c:pt>
              <c:pt idx="3883">
                <c:v>-64.291520000000006</c:v>
              </c:pt>
              <c:pt idx="3884">
                <c:v>-64.181080000000009</c:v>
              </c:pt>
              <c:pt idx="3885">
                <c:v>-64.070740000000001</c:v>
              </c:pt>
              <c:pt idx="3886">
                <c:v>-63.960299999999997</c:v>
              </c:pt>
              <c:pt idx="3887">
                <c:v>-63.849960000000003</c:v>
              </c:pt>
              <c:pt idx="3888">
                <c:v>-63.739520000000006</c:v>
              </c:pt>
              <c:pt idx="3889">
                <c:v>-63.629080000000002</c:v>
              </c:pt>
              <c:pt idx="3890">
                <c:v>-63.518740000000001</c:v>
              </c:pt>
              <c:pt idx="3891">
                <c:v>-63.4084</c:v>
              </c:pt>
              <c:pt idx="3892">
                <c:v>-63.29786</c:v>
              </c:pt>
              <c:pt idx="3893">
                <c:v>-63.187529999999995</c:v>
              </c:pt>
              <c:pt idx="3894">
                <c:v>-63.077190000000002</c:v>
              </c:pt>
              <c:pt idx="3895">
                <c:v>-62.966740000000001</c:v>
              </c:pt>
              <c:pt idx="3896">
                <c:v>-62.856309999999993</c:v>
              </c:pt>
              <c:pt idx="3897">
                <c:v>-62.74597</c:v>
              </c:pt>
              <c:pt idx="3898">
                <c:v>-62.635529999999996</c:v>
              </c:pt>
              <c:pt idx="3899">
                <c:v>-62.525090000000006</c:v>
              </c:pt>
              <c:pt idx="3900">
                <c:v>-62.414749999999998</c:v>
              </c:pt>
              <c:pt idx="3901">
                <c:v>-62.304319999999997</c:v>
              </c:pt>
              <c:pt idx="3902">
                <c:v>-62.19397</c:v>
              </c:pt>
              <c:pt idx="3903">
                <c:v>-62.083539999999999</c:v>
              </c:pt>
              <c:pt idx="3904">
                <c:v>-61.973200000000006</c:v>
              </c:pt>
              <c:pt idx="3905">
                <c:v>-61.862759999999994</c:v>
              </c:pt>
              <c:pt idx="3906">
                <c:v>-61.752419999999994</c:v>
              </c:pt>
              <c:pt idx="3907">
                <c:v>-61.641980000000004</c:v>
              </c:pt>
              <c:pt idx="3908">
                <c:v>-61.53154</c:v>
              </c:pt>
              <c:pt idx="3909">
                <c:v>-61.421199999999999</c:v>
              </c:pt>
              <c:pt idx="3910">
                <c:v>-61.310760000000002</c:v>
              </c:pt>
              <c:pt idx="3911">
                <c:v>-61.200329999999994</c:v>
              </c:pt>
              <c:pt idx="3912">
                <c:v>-61.08999</c:v>
              </c:pt>
              <c:pt idx="3913">
                <c:v>-60.979659999999996</c:v>
              </c:pt>
              <c:pt idx="3914">
                <c:v>-60.869109999999992</c:v>
              </c:pt>
              <c:pt idx="3915">
                <c:v>-60.758779999999994</c:v>
              </c:pt>
              <c:pt idx="3916">
                <c:v>-60.648440000000008</c:v>
              </c:pt>
              <c:pt idx="3917">
                <c:v>-60.5379</c:v>
              </c:pt>
              <c:pt idx="3918">
                <c:v>-60.427570000000003</c:v>
              </c:pt>
              <c:pt idx="3919">
                <c:v>-60.317230000000002</c:v>
              </c:pt>
              <c:pt idx="3920">
                <c:v>-60.206800000000001</c:v>
              </c:pt>
              <c:pt idx="3921">
                <c:v>-60.096350000000001</c:v>
              </c:pt>
              <c:pt idx="3922">
                <c:v>-59.986020000000003</c:v>
              </c:pt>
              <c:pt idx="3923">
                <c:v>-59.875689999999999</c:v>
              </c:pt>
              <c:pt idx="3924">
                <c:v>-59.765140000000002</c:v>
              </c:pt>
              <c:pt idx="3925">
                <c:v>-59.654810000000005</c:v>
              </c:pt>
              <c:pt idx="3926">
                <c:v>-59.544470000000004</c:v>
              </c:pt>
              <c:pt idx="3927">
                <c:v>-59.43394</c:v>
              </c:pt>
              <c:pt idx="3928">
                <c:v>-59.323599999999999</c:v>
              </c:pt>
              <c:pt idx="3929">
                <c:v>-59.213259999999998</c:v>
              </c:pt>
              <c:pt idx="3930">
                <c:v>-59.102730000000001</c:v>
              </c:pt>
              <c:pt idx="3931">
                <c:v>-58.99239</c:v>
              </c:pt>
              <c:pt idx="3932">
                <c:v>-58.882049999999992</c:v>
              </c:pt>
              <c:pt idx="3933">
                <c:v>-58.771619999999999</c:v>
              </c:pt>
              <c:pt idx="3934">
                <c:v>-58.661179999999995</c:v>
              </c:pt>
              <c:pt idx="3935">
                <c:v>-58.550840000000001</c:v>
              </c:pt>
              <c:pt idx="3936">
                <c:v>-58.44041</c:v>
              </c:pt>
              <c:pt idx="3937">
                <c:v>-58.329970000000003</c:v>
              </c:pt>
              <c:pt idx="3938">
                <c:v>-58.219629999999995</c:v>
              </c:pt>
              <c:pt idx="3939">
                <c:v>-58.109200000000008</c:v>
              </c:pt>
              <c:pt idx="3940">
                <c:v>-57.998760000000004</c:v>
              </c:pt>
              <c:pt idx="3941">
                <c:v>-57.888430000000014</c:v>
              </c:pt>
              <c:pt idx="3942">
                <c:v>-57.778089999999999</c:v>
              </c:pt>
              <c:pt idx="3943">
                <c:v>-57.667659999999998</c:v>
              </c:pt>
              <c:pt idx="3944">
                <c:v>-57.557230000000004</c:v>
              </c:pt>
              <c:pt idx="3945">
                <c:v>-57.44688</c:v>
              </c:pt>
              <c:pt idx="3946">
                <c:v>-57.336450000000006</c:v>
              </c:pt>
              <c:pt idx="3947">
                <c:v>-57.226019999999991</c:v>
              </c:pt>
              <c:pt idx="3948">
                <c:v>-57.115580000000001</c:v>
              </c:pt>
              <c:pt idx="3949">
                <c:v>-57.005249999999997</c:v>
              </c:pt>
              <c:pt idx="3950">
                <c:v>-56.894820000000003</c:v>
              </c:pt>
              <c:pt idx="3951">
                <c:v>-56.784379999999999</c:v>
              </c:pt>
              <c:pt idx="3952">
                <c:v>-56.674050000000001</c:v>
              </c:pt>
              <c:pt idx="3953">
                <c:v>-56.563710000000007</c:v>
              </c:pt>
              <c:pt idx="3954">
                <c:v>-56.453179999999996</c:v>
              </c:pt>
              <c:pt idx="3955">
                <c:v>-56.342840000000002</c:v>
              </c:pt>
              <c:pt idx="3956">
                <c:v>-56.232500000000009</c:v>
              </c:pt>
              <c:pt idx="3957">
                <c:v>-56.121980000000001</c:v>
              </c:pt>
              <c:pt idx="3958">
                <c:v>-56.01164</c:v>
              </c:pt>
              <c:pt idx="3959">
                <c:v>-55.901299999999999</c:v>
              </c:pt>
              <c:pt idx="3960">
                <c:v>-55.790869999999991</c:v>
              </c:pt>
              <c:pt idx="3961">
                <c:v>-55.680429999999994</c:v>
              </c:pt>
              <c:pt idx="3962">
                <c:v>-55.570100000000004</c:v>
              </c:pt>
              <c:pt idx="3963">
                <c:v>-55.459660000000007</c:v>
              </c:pt>
              <c:pt idx="3964">
                <c:v>-55.349230000000013</c:v>
              </c:pt>
              <c:pt idx="3965">
                <c:v>-55.238789999999995</c:v>
              </c:pt>
              <c:pt idx="3966">
                <c:v>-55.128460000000004</c:v>
              </c:pt>
              <c:pt idx="3967">
                <c:v>-55.018129999999999</c:v>
              </c:pt>
              <c:pt idx="3968">
                <c:v>-54.907600000000002</c:v>
              </c:pt>
              <c:pt idx="3969">
                <c:v>-54.797269999999997</c:v>
              </c:pt>
              <c:pt idx="3970">
                <c:v>-54.686929999999997</c:v>
              </c:pt>
              <c:pt idx="3971">
                <c:v>-54.5764</c:v>
              </c:pt>
              <c:pt idx="3972">
                <c:v>-54.466059999999999</c:v>
              </c:pt>
              <c:pt idx="3973">
                <c:v>-54.355729999999994</c:v>
              </c:pt>
              <c:pt idx="3974">
                <c:v>-54.245299999999993</c:v>
              </c:pt>
              <c:pt idx="3975">
                <c:v>-54.134859999999996</c:v>
              </c:pt>
              <c:pt idx="3976">
                <c:v>-54.024439999999998</c:v>
              </c:pt>
              <c:pt idx="3977">
                <c:v>-53.914099999999991</c:v>
              </c:pt>
              <c:pt idx="3978">
                <c:v>-53.803670000000004</c:v>
              </c:pt>
              <c:pt idx="3979">
                <c:v>-53.69323</c:v>
              </c:pt>
              <c:pt idx="3980">
                <c:v>-53.582909999999998</c:v>
              </c:pt>
              <c:pt idx="3981">
                <c:v>-53.472470000000001</c:v>
              </c:pt>
              <c:pt idx="3982">
                <c:v>-53.362039999999993</c:v>
              </c:pt>
              <c:pt idx="3983">
                <c:v>-53.251710000000003</c:v>
              </c:pt>
              <c:pt idx="3984">
                <c:v>-53.141280000000002</c:v>
              </c:pt>
              <c:pt idx="3985">
                <c:v>-53.030839999999998</c:v>
              </c:pt>
              <c:pt idx="3986">
                <c:v>-52.920509999999993</c:v>
              </c:pt>
              <c:pt idx="3987">
                <c:v>-52.810080000000006</c:v>
              </c:pt>
              <c:pt idx="3988">
                <c:v>-52.699739999999998</c:v>
              </c:pt>
              <c:pt idx="3989">
                <c:v>-52.589210000000001</c:v>
              </c:pt>
              <c:pt idx="3990">
                <c:v>-52.478879999999997</c:v>
              </c:pt>
              <c:pt idx="3991">
                <c:v>-52.368549999999999</c:v>
              </c:pt>
              <c:pt idx="3992">
                <c:v>-52.258020000000002</c:v>
              </c:pt>
              <c:pt idx="3993">
                <c:v>-52.147690000000004</c:v>
              </c:pt>
              <c:pt idx="3994">
                <c:v>-52.037259999999996</c:v>
              </c:pt>
              <c:pt idx="3995">
                <c:v>-51.926929999999999</c:v>
              </c:pt>
              <c:pt idx="3996">
                <c:v>-51.816400000000002</c:v>
              </c:pt>
              <c:pt idx="3997">
                <c:v>-51.706060000000008</c:v>
              </c:pt>
              <c:pt idx="3998">
                <c:v>-51.595730000000003</c:v>
              </c:pt>
              <c:pt idx="3999">
                <c:v>-51.485299999999995</c:v>
              </c:pt>
              <c:pt idx="4000">
                <c:v>-51.374869999999994</c:v>
              </c:pt>
              <c:pt idx="4001">
                <c:v>-51.26444</c:v>
              </c:pt>
              <c:pt idx="4002">
                <c:v>-51.154100000000007</c:v>
              </c:pt>
              <c:pt idx="4003">
                <c:v>-51.043680000000002</c:v>
              </c:pt>
              <c:pt idx="4004">
                <c:v>-50.933240000000005</c:v>
              </c:pt>
              <c:pt idx="4005">
                <c:v>-50.822920000000003</c:v>
              </c:pt>
              <c:pt idx="4006">
                <c:v>-50.712480000000006</c:v>
              </c:pt>
              <c:pt idx="4007">
                <c:v>-50.602049999999998</c:v>
              </c:pt>
              <c:pt idx="4008">
                <c:v>-50.491630000000001</c:v>
              </c:pt>
              <c:pt idx="4009">
                <c:v>-50.38129</c:v>
              </c:pt>
              <c:pt idx="4010">
                <c:v>-50.270960000000002</c:v>
              </c:pt>
              <c:pt idx="4011">
                <c:v>-50.160429999999998</c:v>
              </c:pt>
              <c:pt idx="4012">
                <c:v>-50.050109999999997</c:v>
              </c:pt>
              <c:pt idx="4013">
                <c:v>-49.939677000000003</c:v>
              </c:pt>
              <c:pt idx="4014">
                <c:v>-49.829248</c:v>
              </c:pt>
              <c:pt idx="4015">
                <c:v>-49.718817999999999</c:v>
              </c:pt>
              <c:pt idx="4016">
                <c:v>-49.608488000000001</c:v>
              </c:pt>
              <c:pt idx="4017">
                <c:v>-49.498158000000004</c:v>
              </c:pt>
              <c:pt idx="4018">
                <c:v>-49.387626999999995</c:v>
              </c:pt>
              <c:pt idx="4019">
                <c:v>-49.277295000000002</c:v>
              </c:pt>
              <c:pt idx="4020">
                <c:v>-49.166864000000004</c:v>
              </c:pt>
              <c:pt idx="4021">
                <c:v>-49.056531999999997</c:v>
              </c:pt>
              <c:pt idx="4022">
                <c:v>-48.946008999999997</c:v>
              </c:pt>
              <c:pt idx="4023">
                <c:v>-48.835675999999999</c:v>
              </c:pt>
              <c:pt idx="4024">
                <c:v>-48.725253000000002</c:v>
              </c:pt>
              <c:pt idx="4025">
                <c:v>-48.614919999999998</c:v>
              </c:pt>
              <c:pt idx="4026">
                <c:v>-48.504496000000003</c:v>
              </c:pt>
              <c:pt idx="4027">
                <c:v>-48.394061000000001</c:v>
              </c:pt>
              <c:pt idx="4028">
                <c:v>-48.283736000000005</c:v>
              </c:pt>
              <c:pt idx="4029">
                <c:v>-48.173200999999999</c:v>
              </c:pt>
              <c:pt idx="4030">
                <c:v>-48.062876000000003</c:v>
              </c:pt>
              <c:pt idx="4031">
                <c:v>-47.952449999999999</c:v>
              </c:pt>
              <c:pt idx="4032">
                <c:v>-47.842123000000008</c:v>
              </c:pt>
              <c:pt idx="4033">
                <c:v>-47.731586999999998</c:v>
              </c:pt>
              <c:pt idx="4034">
                <c:v>-47.621259000000002</c:v>
              </c:pt>
              <c:pt idx="4035">
                <c:v>-47.510831899999999</c:v>
              </c:pt>
              <c:pt idx="4036">
                <c:v>-47.400503899999997</c:v>
              </c:pt>
              <c:pt idx="4037">
                <c:v>-47.290075699999996</c:v>
              </c:pt>
              <c:pt idx="4038">
                <c:v>-47.179646900000002</c:v>
              </c:pt>
              <c:pt idx="4039">
                <c:v>-47.069317799999993</c:v>
              </c:pt>
              <c:pt idx="4040">
                <c:v>-46.958897999999998</c:v>
              </c:pt>
              <c:pt idx="4041">
                <c:v>-46.848469000000009</c:v>
              </c:pt>
              <c:pt idx="4042">
                <c:v>-46.738037999999996</c:v>
              </c:pt>
              <c:pt idx="4043">
                <c:v>-46.627708000000005</c:v>
              </c:pt>
              <c:pt idx="4044">
                <c:v>-46.517286999999996</c:v>
              </c:pt>
              <c:pt idx="4045">
                <c:v>-46.406855</c:v>
              </c:pt>
              <c:pt idx="4046">
                <c:v>-46.296433</c:v>
              </c:pt>
              <c:pt idx="4047">
                <c:v>-46.186101000000001</c:v>
              </c:pt>
              <c:pt idx="4048">
                <c:v>-46.075678000000003</c:v>
              </c:pt>
              <c:pt idx="4049">
                <c:v>-45.965245000000003</c:v>
              </c:pt>
              <c:pt idx="4050">
                <c:v>-45.854821999999999</c:v>
              </c:pt>
              <c:pt idx="4051">
                <c:v>-45.744488000000004</c:v>
              </c:pt>
              <c:pt idx="4052">
                <c:v>-45.634064000000002</c:v>
              </c:pt>
              <c:pt idx="4053">
                <c:v>-45.523639000000003</c:v>
              </c:pt>
              <c:pt idx="4054">
                <c:v>-45.413213999999996</c:v>
              </c:pt>
              <c:pt idx="4055">
                <c:v>-45.302888999999993</c:v>
              </c:pt>
              <c:pt idx="4056">
                <c:v>-45.192463000000004</c:v>
              </c:pt>
              <c:pt idx="4057">
                <c:v>-45.082037000000007</c:v>
              </c:pt>
              <c:pt idx="4058">
                <c:v>-44.971611000000003</c:v>
              </c:pt>
              <c:pt idx="4059">
                <c:v>-44.861283999999998</c:v>
              </c:pt>
              <c:pt idx="4060">
                <c:v>-44.750857000000003</c:v>
              </c:pt>
              <c:pt idx="4061">
                <c:v>-44.640428999999997</c:v>
              </c:pt>
              <c:pt idx="4062">
                <c:v>-44.530000999999999</c:v>
              </c:pt>
              <c:pt idx="4063">
                <c:v>-44.419674000000001</c:v>
              </c:pt>
              <c:pt idx="4064">
                <c:v>-44.309246000000002</c:v>
              </c:pt>
              <c:pt idx="4065">
                <c:v>-44.198819</c:v>
              </c:pt>
              <c:pt idx="4066">
                <c:v>-44.088393999999994</c:v>
              </c:pt>
              <c:pt idx="4067">
                <c:v>-43.978068</c:v>
              </c:pt>
              <c:pt idx="4068">
                <c:v>-43.867643000000001</c:v>
              </c:pt>
              <c:pt idx="4069">
                <c:v>-43.757218000000002</c:v>
              </c:pt>
              <c:pt idx="4070">
                <c:v>-43.646793000000002</c:v>
              </c:pt>
              <c:pt idx="4071">
                <c:v>-43.536470000000001</c:v>
              </c:pt>
              <c:pt idx="4072">
                <c:v>-43.426045999999999</c:v>
              </c:pt>
              <c:pt idx="4073">
                <c:v>-43.315624</c:v>
              </c:pt>
              <c:pt idx="4074">
                <c:v>-43.205190999999999</c:v>
              </c:pt>
              <c:pt idx="4075">
                <c:v>-43.094868999999996</c:v>
              </c:pt>
              <c:pt idx="4076">
                <c:v>-42.984448</c:v>
              </c:pt>
              <c:pt idx="4077">
                <c:v>-42.874017000000002</c:v>
              </c:pt>
              <c:pt idx="4078">
                <c:v>-42.763596</c:v>
              </c:pt>
              <c:pt idx="4079">
                <c:v>-42.653266000000002</c:v>
              </c:pt>
              <c:pt idx="4080">
                <c:v>-42.542847000000002</c:v>
              </c:pt>
              <c:pt idx="4081">
                <c:v>-42.432416999999994</c:v>
              </c:pt>
              <c:pt idx="4082">
                <c:v>-42.321998000000001</c:v>
              </c:pt>
              <c:pt idx="4083">
                <c:v>-42.211670000000005</c:v>
              </c:pt>
              <c:pt idx="4084">
                <c:v>-42.101243000000004</c:v>
              </c:pt>
              <c:pt idx="4085">
                <c:v>-41.990725999999995</c:v>
              </c:pt>
              <c:pt idx="4086">
                <c:v>-41.880175000000001</c:v>
              </c:pt>
              <c:pt idx="4087">
                <c:v>-41.766659999999995</c:v>
              </c:pt>
              <c:pt idx="4088">
                <c:v>-41.653239999999997</c:v>
              </c:pt>
              <c:pt idx="4089">
                <c:v>-41.539721</c:v>
              </c:pt>
              <c:pt idx="4090">
                <c:v>-41.426302</c:v>
              </c:pt>
              <c:pt idx="4091">
                <c:v>-41.312774000000005</c:v>
              </c:pt>
              <c:pt idx="4092">
                <c:v>-41.199355999999995</c:v>
              </c:pt>
              <c:pt idx="4093">
                <c:v>-41.085839</c:v>
              </c:pt>
              <c:pt idx="4094">
                <c:v>-40.972412000000006</c:v>
              </c:pt>
              <c:pt idx="4095">
                <c:v>-40.858795999999998</c:v>
              </c:pt>
              <c:pt idx="4096">
                <c:v>-40.745370999999999</c:v>
              </c:pt>
              <c:pt idx="4097">
                <c:v>-40.631855999999999</c:v>
              </c:pt>
              <c:pt idx="4098">
                <c:v>-40.518430999999993</c:v>
              </c:pt>
              <c:pt idx="4099">
                <c:v>-40.404906999999994</c:v>
              </c:pt>
              <c:pt idx="4100">
                <c:v>-40.291494</c:v>
              </c:pt>
              <c:pt idx="4101">
                <c:v>-40.177970999999999</c:v>
              </c:pt>
              <c:pt idx="4102">
                <c:v>-40.064549</c:v>
              </c:pt>
              <c:pt idx="4103">
                <c:v>-39.951028000000001</c:v>
              </c:pt>
              <c:pt idx="4104">
                <c:v>-39.837606999999998</c:v>
              </c:pt>
              <c:pt idx="4105">
                <c:v>-39.724096000000003</c:v>
              </c:pt>
              <c:pt idx="4106">
                <c:v>-39.610675999999998</c:v>
              </c:pt>
              <c:pt idx="4107">
                <c:v>-39.497157000000001</c:v>
              </c:pt>
              <c:pt idx="4108">
                <c:v>-39.383727999999998</c:v>
              </c:pt>
              <c:pt idx="4109">
                <c:v>-39.270209999999999</c:v>
              </c:pt>
              <c:pt idx="4110">
                <c:v>-39.156692</c:v>
              </c:pt>
              <c:pt idx="4111">
                <c:v>-39.043275000000001</c:v>
              </c:pt>
              <c:pt idx="4112">
                <c:v>-38.929758</c:v>
              </c:pt>
              <c:pt idx="4113">
                <c:v>-38.816331999999996</c:v>
              </c:pt>
              <c:pt idx="4114">
                <c:v>-38.702815999999999</c:v>
              </c:pt>
              <c:pt idx="4115">
                <c:v>-38.589400999999995</c:v>
              </c:pt>
              <c:pt idx="4116">
                <c:v>-38.475877000000004</c:v>
              </c:pt>
              <c:pt idx="4117">
                <c:v>-38.362462999999998</c:v>
              </c:pt>
              <c:pt idx="4118">
                <c:v>-38.248940000000005</c:v>
              </c:pt>
              <c:pt idx="4119">
                <c:v>-38.135527000000003</c:v>
              </c:pt>
              <c:pt idx="4120">
                <c:v>-38.021904999999997</c:v>
              </c:pt>
              <c:pt idx="4121">
                <c:v>-37.908483000000004</c:v>
              </c:pt>
              <c:pt idx="4122">
                <c:v>-37.794972000000001</c:v>
              </c:pt>
              <c:pt idx="4123">
                <c:v>-37.681551999999996</c:v>
              </c:pt>
              <c:pt idx="4124">
                <c:v>-37.568131999999999</c:v>
              </c:pt>
              <c:pt idx="4125">
                <c:v>-37.454612000000004</c:v>
              </c:pt>
              <c:pt idx="4126">
                <c:v>-37.341193000000004</c:v>
              </c:pt>
              <c:pt idx="4127">
                <c:v>-37.227674999999998</c:v>
              </c:pt>
              <c:pt idx="4128">
                <c:v>-37.114156999999999</c:v>
              </c:pt>
              <c:pt idx="4129">
                <c:v>-37.000639999999997</c:v>
              </c:pt>
              <c:pt idx="4130">
                <c:v>-36.887224000000003</c:v>
              </c:pt>
              <c:pt idx="4131">
                <c:v>-36.773707000000002</c:v>
              </c:pt>
              <c:pt idx="4132">
                <c:v>-36.660291999999998</c:v>
              </c:pt>
              <c:pt idx="4133">
                <c:v>-36.546777000000006</c:v>
              </c:pt>
              <c:pt idx="4134">
                <c:v>-36.433351999999999</c:v>
              </c:pt>
              <c:pt idx="4135">
                <c:v>-36.319938999999998</c:v>
              </c:pt>
              <c:pt idx="4136">
                <c:v>-36.206325</c:v>
              </c:pt>
              <c:pt idx="4137">
                <c:v>-36.092902000000002</c:v>
              </c:pt>
              <c:pt idx="4138">
                <c:v>-35.979389999999995</c:v>
              </c:pt>
              <c:pt idx="4139">
                <c:v>-35.865969</c:v>
              </c:pt>
              <c:pt idx="4140">
                <c:v>-35.752458000000004</c:v>
              </c:pt>
              <c:pt idx="4141">
                <c:v>-35.639037000000002</c:v>
              </c:pt>
              <c:pt idx="4142">
                <c:v>-35.525516999999994</c:v>
              </c:pt>
              <c:pt idx="4143">
                <c:v>-35.412008000000007</c:v>
              </c:pt>
              <c:pt idx="4144">
                <c:v>-35.298589</c:v>
              </c:pt>
              <c:pt idx="4145">
                <c:v>-35.185069999999996</c:v>
              </c:pt>
              <c:pt idx="4146">
                <c:v>-35.071653000000005</c:v>
              </c:pt>
              <c:pt idx="4147">
                <c:v>-34.958134999999999</c:v>
              </c:pt>
              <c:pt idx="4148">
                <c:v>-34.844619000000002</c:v>
              </c:pt>
              <c:pt idx="4149">
                <c:v>-34.731212999999997</c:v>
              </c:pt>
              <c:pt idx="4150">
                <c:v>-34.617686999999997</c:v>
              </c:pt>
              <c:pt idx="4151">
                <c:v>-34.504272</c:v>
              </c:pt>
              <c:pt idx="4152">
                <c:v>-34.390757999999998</c:v>
              </c:pt>
              <c:pt idx="4153">
                <c:v>-34.277343999999999</c:v>
              </c:pt>
              <c:pt idx="4154">
                <c:v>-34.163730000000001</c:v>
              </c:pt>
              <c:pt idx="4155">
                <c:v>-34.050245999999994</c:v>
              </c:pt>
              <c:pt idx="4156">
                <c:v>-33.934844999999996</c:v>
              </c:pt>
              <c:pt idx="4157">
                <c:v>-33.819434999999999</c:v>
              </c:pt>
              <c:pt idx="4158">
                <c:v>-33.703826000000007</c:v>
              </c:pt>
              <c:pt idx="4159">
                <c:v>-33.588427000000003</c:v>
              </c:pt>
              <c:pt idx="4160">
                <c:v>-33.472918999999997</c:v>
              </c:pt>
              <c:pt idx="4161">
                <c:v>-33.357410999999999</c:v>
              </c:pt>
              <c:pt idx="4162">
                <c:v>-33.241903999999998</c:v>
              </c:pt>
              <c:pt idx="4163">
                <c:v>-33.126498000000005</c:v>
              </c:pt>
              <c:pt idx="4164">
                <c:v>-33.010993000000006</c:v>
              </c:pt>
              <c:pt idx="4165">
                <c:v>-32.895488</c:v>
              </c:pt>
              <c:pt idx="4166">
                <c:v>-32.779972999999998</c:v>
              </c:pt>
              <c:pt idx="4167">
                <c:v>-32.664569999999998</c:v>
              </c:pt>
              <c:pt idx="4168">
                <c:v>-32.545437999999997</c:v>
              </c:pt>
              <c:pt idx="4169">
                <c:v>-32.425167999999999</c:v>
              </c:pt>
              <c:pt idx="4170">
                <c:v>-32.295156000000006</c:v>
              </c:pt>
              <c:pt idx="4171">
                <c:v>-32.162658</c:v>
              </c:pt>
              <c:pt idx="4172">
                <c:v>-32.030271999999997</c:v>
              </c:pt>
              <c:pt idx="4173">
                <c:v>-31.897787000000005</c:v>
              </c:pt>
              <c:pt idx="4174">
                <c:v>-31.765293</c:v>
              </c:pt>
              <c:pt idx="4175">
                <c:v>-31.632899999999999</c:v>
              </c:pt>
              <c:pt idx="4176">
                <c:v>-31.500417999999996</c:v>
              </c:pt>
              <c:pt idx="4177">
                <c:v>-31.367927999999999</c:v>
              </c:pt>
              <c:pt idx="4178">
                <c:v>-31.235537999999998</c:v>
              </c:pt>
              <c:pt idx="4179">
                <c:v>-31.10305</c:v>
              </c:pt>
              <c:pt idx="4180">
                <c:v>-30.970663000000002</c:v>
              </c:pt>
              <c:pt idx="4181">
                <c:v>-30.838176999999998</c:v>
              </c:pt>
              <c:pt idx="4182">
                <c:v>-30.705692999999997</c:v>
              </c:pt>
              <c:pt idx="4183">
                <c:v>-30.573308999999998</c:v>
              </c:pt>
              <c:pt idx="4184">
                <c:v>-30.440826999999999</c:v>
              </c:pt>
              <c:pt idx="4185">
                <c:v>-30.308346000000004</c:v>
              </c:pt>
              <c:pt idx="4186">
                <c:v>-30.175856000000007</c:v>
              </c:pt>
              <c:pt idx="4187">
                <c:v>-30.043377</c:v>
              </c:pt>
              <c:pt idx="4188">
                <c:v>-29.910989100000002</c:v>
              </c:pt>
              <c:pt idx="4189">
                <c:v>-29.778512599999992</c:v>
              </c:pt>
              <c:pt idx="4190">
                <c:v>-29.646127199999995</c:v>
              </c:pt>
              <c:pt idx="4191">
                <c:v>-29.513543000000006</c:v>
              </c:pt>
              <c:pt idx="4192">
                <c:v>-29.381170000000001</c:v>
              </c:pt>
              <c:pt idx="4193">
                <c:v>-29.248688130000001</c:v>
              </c:pt>
              <c:pt idx="4194">
                <c:v>-29.1163074</c:v>
              </c:pt>
              <c:pt idx="4195">
                <c:v>-28.983727899999998</c:v>
              </c:pt>
              <c:pt idx="4196">
                <c:v>-28.851349499999998</c:v>
              </c:pt>
              <c:pt idx="4197">
                <c:v>-28.718872300000001</c:v>
              </c:pt>
              <c:pt idx="4198">
                <c:v>-28.578365000000002</c:v>
              </c:pt>
              <c:pt idx="4199">
                <c:v>-28.427132000000004</c:v>
              </c:pt>
              <c:pt idx="4200">
                <c:v>-28.27599</c:v>
              </c:pt>
              <c:pt idx="4201">
                <c:v>-28.124749999999999</c:v>
              </c:pt>
              <c:pt idx="4202">
                <c:v>-27.973520000000001</c:v>
              </c:pt>
              <c:pt idx="4203">
                <c:v>-27.822372000000001</c:v>
              </c:pt>
              <c:pt idx="4204">
                <c:v>-27.671135</c:v>
              </c:pt>
              <c:pt idx="4205">
                <c:v>-27.499789000000003</c:v>
              </c:pt>
              <c:pt idx="4206">
                <c:v>-27.315777000000001</c:v>
              </c:pt>
              <c:pt idx="4207">
                <c:v>-27.131757999999998</c:v>
              </c:pt>
              <c:pt idx="4208">
                <c:v>-26.947740000000003</c:v>
              </c:pt>
              <c:pt idx="4209">
                <c:v>-26.763724999999997</c:v>
              </c:pt>
              <c:pt idx="4210">
                <c:v>-26.579700999999993</c:v>
              </c:pt>
              <c:pt idx="4211">
                <c:v>-26.395679000000001</c:v>
              </c:pt>
              <c:pt idx="4212">
                <c:v>-26.211658000000003</c:v>
              </c:pt>
              <c:pt idx="4213">
                <c:v>-26.027629999999998</c:v>
              </c:pt>
              <c:pt idx="4214">
                <c:v>-25.843612999999998</c:v>
              </c:pt>
              <c:pt idx="4215">
                <c:v>-25.659578</c:v>
              </c:pt>
              <c:pt idx="4216">
                <c:v>-25.475545</c:v>
              </c:pt>
              <c:pt idx="4217">
                <c:v>-25.291613999999999</c:v>
              </c:pt>
              <c:pt idx="4218">
                <c:v>-25.107583999999999</c:v>
              </c:pt>
              <c:pt idx="4219">
                <c:v>-24.923546999999999</c:v>
              </c:pt>
              <c:pt idx="4220">
                <c:v>-24.739510999999997</c:v>
              </c:pt>
              <c:pt idx="4221">
                <c:v>-24.555467</c:v>
              </c:pt>
              <c:pt idx="4222">
                <c:v>-24.371525000000002</c:v>
              </c:pt>
              <c:pt idx="4223">
                <c:v>-24.187483999999998</c:v>
              </c:pt>
              <c:pt idx="4224">
                <c:v>-24.003436000000001</c:v>
              </c:pt>
              <c:pt idx="4225">
                <c:v>-23.819388999999997</c:v>
              </c:pt>
              <c:pt idx="4226">
                <c:v>-23.635444000000003</c:v>
              </c:pt>
              <c:pt idx="4227">
                <c:v>-23.451390999999997</c:v>
              </c:pt>
              <c:pt idx="4228">
                <c:v>-23.267339999999997</c:v>
              </c:pt>
              <c:pt idx="4229">
                <c:v>-23.083390000000001</c:v>
              </c:pt>
              <c:pt idx="4230">
                <c:v>-22.899333000000002</c:v>
              </c:pt>
              <c:pt idx="4231">
                <c:v>-22.715367000000001</c:v>
              </c:pt>
              <c:pt idx="4232">
                <c:v>-22.531313000000001</c:v>
              </c:pt>
              <c:pt idx="4233">
                <c:v>-22.347239999999999</c:v>
              </c:pt>
              <c:pt idx="4234">
                <c:v>-22.16329</c:v>
              </c:pt>
              <c:pt idx="4235">
                <c:v>-21.979219999999998</c:v>
              </c:pt>
              <c:pt idx="4236">
                <c:v>-21.795250000000003</c:v>
              </c:pt>
              <c:pt idx="4237">
                <c:v>-21.611190000000001</c:v>
              </c:pt>
              <c:pt idx="4238">
                <c:v>-21.427219999999998</c:v>
              </c:pt>
              <c:pt idx="4239">
                <c:v>-21.243130000000001</c:v>
              </c:pt>
              <c:pt idx="4240">
                <c:v>-21.059160000000002</c:v>
              </c:pt>
              <c:pt idx="4241">
                <c:v>-20.87519</c:v>
              </c:pt>
              <c:pt idx="4242">
                <c:v>-20.691110000000002</c:v>
              </c:pt>
              <c:pt idx="4243">
                <c:v>-20.50714</c:v>
              </c:pt>
              <c:pt idx="4244">
                <c:v>-20.323049999999995</c:v>
              </c:pt>
              <c:pt idx="4245">
                <c:v>-20.139060000000001</c:v>
              </c:pt>
              <c:pt idx="4246">
                <c:v>-19.955080000000002</c:v>
              </c:pt>
              <c:pt idx="4247">
                <c:v>-19.770989999999998</c:v>
              </c:pt>
              <c:pt idx="4248">
                <c:v>-19.58699</c:v>
              </c:pt>
              <c:pt idx="4249">
                <c:v>-19.397280000000002</c:v>
              </c:pt>
              <c:pt idx="4250">
                <c:v>-19.180389999999999</c:v>
              </c:pt>
              <c:pt idx="4251">
                <c:v>-18.931429999999999</c:v>
              </c:pt>
              <c:pt idx="4252">
                <c:v>-18.682479999999998</c:v>
              </c:pt>
              <c:pt idx="4253">
                <c:v>-18.433420000000002</c:v>
              </c:pt>
              <c:pt idx="4254">
                <c:v>-18.184450000000002</c:v>
              </c:pt>
              <c:pt idx="4255">
                <c:v>-17.935480000000002</c:v>
              </c:pt>
              <c:pt idx="4256">
                <c:v>-17.686499999999999</c:v>
              </c:pt>
              <c:pt idx="4257">
                <c:v>-17.437510000000003</c:v>
              </c:pt>
              <c:pt idx="4258">
                <c:v>-17.188510000000001</c:v>
              </c:pt>
              <c:pt idx="4259">
                <c:v>-16.939509999999999</c:v>
              </c:pt>
              <c:pt idx="4260">
                <c:v>-16.6905</c:v>
              </c:pt>
              <c:pt idx="4261">
                <c:v>-16.441500000000001</c:v>
              </c:pt>
              <c:pt idx="4262">
                <c:v>-16.19247</c:v>
              </c:pt>
              <c:pt idx="4263">
                <c:v>-15.83436</c:v>
              </c:pt>
              <c:pt idx="4264">
                <c:v>-15.442339999999998</c:v>
              </c:pt>
              <c:pt idx="4265">
                <c:v>-15.050229999999999</c:v>
              </c:pt>
              <c:pt idx="4266">
                <c:v>-14.658199999999999</c:v>
              </c:pt>
              <c:pt idx="4267">
                <c:v>-14.266150000000001</c:v>
              </c:pt>
              <c:pt idx="4268">
                <c:v>-13.87411</c:v>
              </c:pt>
              <c:pt idx="4269">
                <c:v>-13.482140000000003</c:v>
              </c:pt>
              <c:pt idx="4270">
                <c:v>-13.090070000000001</c:v>
              </c:pt>
              <c:pt idx="4271">
                <c:v>-12.697990000000001</c:v>
              </c:pt>
              <c:pt idx="4272">
                <c:v>-12.305990000000001</c:v>
              </c:pt>
              <c:pt idx="4273">
                <c:v>-11.91389</c:v>
              </c:pt>
              <c:pt idx="4274">
                <c:v>-11.521879999999999</c:v>
              </c:pt>
              <c:pt idx="4275">
                <c:v>-11.129849999999999</c:v>
              </c:pt>
              <c:pt idx="4276">
                <c:v>-10.737819999999999</c:v>
              </c:pt>
              <c:pt idx="4277">
                <c:v>-10.345779999999998</c:v>
              </c:pt>
              <c:pt idx="4278">
                <c:v>-9.9537200000000006</c:v>
              </c:pt>
              <c:pt idx="4279">
                <c:v>-9.5617400000000004</c:v>
              </c:pt>
              <c:pt idx="4280">
                <c:v>-9.16967</c:v>
              </c:pt>
              <c:pt idx="4281">
                <c:v>-8.7776800000000001</c:v>
              </c:pt>
              <c:pt idx="4282">
                <c:v>-8.3855900000000005</c:v>
              </c:pt>
              <c:pt idx="4283">
                <c:v>-7.9935699999999983</c:v>
              </c:pt>
              <c:pt idx="4284">
                <c:v>-7.601560000000001</c:v>
              </c:pt>
              <c:pt idx="4285">
                <c:v>-7.2095200000000004</c:v>
              </c:pt>
              <c:pt idx="4286">
                <c:v>-6.8414200000000012</c:v>
              </c:pt>
              <c:pt idx="4287">
                <c:v>-6.5346700000000011</c:v>
              </c:pt>
              <c:pt idx="4288">
                <c:v>-6.2666199999999996</c:v>
              </c:pt>
              <c:pt idx="4289">
                <c:v>-6.0252100000000004</c:v>
              </c:pt>
              <c:pt idx="4290">
                <c:v>-5.7839100000000006</c:v>
              </c:pt>
              <c:pt idx="4291">
                <c:v>-5.5426100000000016</c:v>
              </c:pt>
              <c:pt idx="4292">
                <c:v>-5.3013100000000017</c:v>
              </c:pt>
              <c:pt idx="4293">
                <c:v>-5.0599999999999987</c:v>
              </c:pt>
              <c:pt idx="4294">
                <c:v>-4.8186799999999996</c:v>
              </c:pt>
              <c:pt idx="4295">
                <c:v>-4.5773700000000002</c:v>
              </c:pt>
              <c:pt idx="4296">
                <c:v>-4.3360499999999993</c:v>
              </c:pt>
              <c:pt idx="4297">
                <c:v>-4.0947299999999984</c:v>
              </c:pt>
              <c:pt idx="4298">
                <c:v>-3.8534100000000002</c:v>
              </c:pt>
              <c:pt idx="4299">
                <c:v>-3.6120799999999988</c:v>
              </c:pt>
              <c:pt idx="4300">
                <c:v>-3.3707400000000005</c:v>
              </c:pt>
              <c:pt idx="4301">
                <c:v>-3.1295099999999989</c:v>
              </c:pt>
              <c:pt idx="4302">
                <c:v>-2.8881800000000002</c:v>
              </c:pt>
              <c:pt idx="4303">
                <c:v>-2.6468299999999996</c:v>
              </c:pt>
              <c:pt idx="4304">
                <c:v>-2.4054900000000004</c:v>
              </c:pt>
              <c:pt idx="4305">
                <c:v>-2.1642400000000013</c:v>
              </c:pt>
              <c:pt idx="4306">
                <c:v>-1.9228900000000007</c:v>
              </c:pt>
              <c:pt idx="4307">
                <c:v>-1.6815369999999996</c:v>
              </c:pt>
              <c:pt idx="4308">
                <c:v>-1.4402870000000005</c:v>
              </c:pt>
              <c:pt idx="4309">
                <c:v>-1.2077809999999998</c:v>
              </c:pt>
              <c:pt idx="4310">
                <c:v>-0.99185200000000062</c:v>
              </c:pt>
              <c:pt idx="4311">
                <c:v>-0.77590900000000129</c:v>
              </c:pt>
              <c:pt idx="4312">
                <c:v>-0.58094900000000038</c:v>
              </c:pt>
              <c:pt idx="4313">
                <c:v>-0.39058100000000007</c:v>
              </c:pt>
              <c:pt idx="4314">
                <c:v>-0.2002189999999997</c:v>
              </c:pt>
              <c:pt idx="4315">
                <c:v>-9.8650000000004567E-3</c:v>
              </c:pt>
              <c:pt idx="4316">
                <c:v>0.18050099999999869</c:v>
              </c:pt>
              <c:pt idx="4317">
                <c:v>0</c:v>
              </c:pt>
              <c:pt idx="4318">
                <c:v>0</c:v>
              </c:pt>
              <c:pt idx="4319">
                <c:v>0</c:v>
              </c:pt>
              <c:pt idx="4320">
                <c:v>0</c:v>
              </c:pt>
              <c:pt idx="4321">
                <c:v>0</c:v>
              </c:pt>
              <c:pt idx="4322">
                <c:v>0</c:v>
              </c:pt>
              <c:pt idx="4323">
                <c:v>0</c:v>
              </c:pt>
              <c:pt idx="4324">
                <c:v>0</c:v>
              </c:pt>
              <c:pt idx="4325">
                <c:v>0</c:v>
              </c:pt>
              <c:pt idx="4326">
                <c:v>0</c:v>
              </c:pt>
              <c:pt idx="4327">
                <c:v>0</c:v>
              </c:pt>
              <c:pt idx="4328">
                <c:v>0</c:v>
              </c:pt>
              <c:pt idx="4329">
                <c:v>0</c:v>
              </c:pt>
              <c:pt idx="4330">
                <c:v>0</c:v>
              </c:pt>
              <c:pt idx="4331">
                <c:v>0</c:v>
              </c:pt>
              <c:pt idx="4332">
                <c:v>0</c:v>
              </c:pt>
              <c:pt idx="4333">
                <c:v>0</c:v>
              </c:pt>
              <c:pt idx="4334">
                <c:v>0</c:v>
              </c:pt>
              <c:pt idx="4335">
                <c:v>0</c:v>
              </c:pt>
              <c:pt idx="4336">
                <c:v>0</c:v>
              </c:pt>
              <c:pt idx="4337">
                <c:v>0</c:v>
              </c:pt>
              <c:pt idx="4338">
                <c:v>0</c:v>
              </c:pt>
              <c:pt idx="4339">
                <c:v>0</c:v>
              </c:pt>
              <c:pt idx="4340">
                <c:v>0</c:v>
              </c:pt>
              <c:pt idx="4341">
                <c:v>0</c:v>
              </c:pt>
              <c:pt idx="4342">
                <c:v>0</c:v>
              </c:pt>
              <c:pt idx="4343">
                <c:v>0</c:v>
              </c:pt>
              <c:pt idx="4344">
                <c:v>0</c:v>
              </c:pt>
              <c:pt idx="4345">
                <c:v>0</c:v>
              </c:pt>
              <c:pt idx="4346">
                <c:v>0</c:v>
              </c:pt>
              <c:pt idx="4347">
                <c:v>0</c:v>
              </c:pt>
              <c:pt idx="4348">
                <c:v>0</c:v>
              </c:pt>
              <c:pt idx="4349">
                <c:v>0</c:v>
              </c:pt>
              <c:pt idx="4350">
                <c:v>0</c:v>
              </c:pt>
              <c:pt idx="4351">
                <c:v>0</c:v>
              </c:pt>
              <c:pt idx="4352">
                <c:v>0</c:v>
              </c:pt>
              <c:pt idx="4353">
                <c:v>0</c:v>
              </c:pt>
              <c:pt idx="4354">
                <c:v>0</c:v>
              </c:pt>
              <c:pt idx="4355">
                <c:v>0</c:v>
              </c:pt>
              <c:pt idx="4356">
                <c:v>0</c:v>
              </c:pt>
              <c:pt idx="4357">
                <c:v>0</c:v>
              </c:pt>
              <c:pt idx="4358">
                <c:v>0</c:v>
              </c:pt>
              <c:pt idx="4359">
                <c:v>0</c:v>
              </c:pt>
              <c:pt idx="4360">
                <c:v>0</c:v>
              </c:pt>
              <c:pt idx="4361">
                <c:v>0</c:v>
              </c:pt>
              <c:pt idx="4362">
                <c:v>0</c:v>
              </c:pt>
              <c:pt idx="4363">
                <c:v>0</c:v>
              </c:pt>
              <c:pt idx="4364">
                <c:v>0</c:v>
              </c:pt>
              <c:pt idx="4365">
                <c:v>0</c:v>
              </c:pt>
              <c:pt idx="4366">
                <c:v>0</c:v>
              </c:pt>
              <c:pt idx="4367">
                <c:v>0</c:v>
              </c:pt>
              <c:pt idx="4368">
                <c:v>0</c:v>
              </c:pt>
              <c:pt idx="4369">
                <c:v>0</c:v>
              </c:pt>
              <c:pt idx="4370">
                <c:v>0</c:v>
              </c:pt>
              <c:pt idx="4371">
                <c:v>0</c:v>
              </c:pt>
              <c:pt idx="4372">
                <c:v>0</c:v>
              </c:pt>
              <c:pt idx="4373">
                <c:v>0</c:v>
              </c:pt>
              <c:pt idx="4374">
                <c:v>0</c:v>
              </c:pt>
              <c:pt idx="4375">
                <c:v>0</c:v>
              </c:pt>
              <c:pt idx="4376">
                <c:v>0</c:v>
              </c:pt>
              <c:pt idx="4377">
                <c:v>0</c:v>
              </c:pt>
              <c:pt idx="4378">
                <c:v>0</c:v>
              </c:pt>
              <c:pt idx="4379">
                <c:v>0</c:v>
              </c:pt>
              <c:pt idx="4380">
                <c:v>0</c:v>
              </c:pt>
              <c:pt idx="4381">
                <c:v>0</c:v>
              </c:pt>
              <c:pt idx="4382">
                <c:v>0</c:v>
              </c:pt>
              <c:pt idx="4383">
                <c:v>0</c:v>
              </c:pt>
              <c:pt idx="4384">
                <c:v>0</c:v>
              </c:pt>
              <c:pt idx="4385">
                <c:v>0</c:v>
              </c:pt>
              <c:pt idx="4386">
                <c:v>0</c:v>
              </c:pt>
              <c:pt idx="4387">
                <c:v>0</c:v>
              </c:pt>
              <c:pt idx="4388">
                <c:v>0</c:v>
              </c:pt>
              <c:pt idx="4389">
                <c:v>0</c:v>
              </c:pt>
              <c:pt idx="4390">
                <c:v>0</c:v>
              </c:pt>
              <c:pt idx="4391">
                <c:v>0</c:v>
              </c:pt>
              <c:pt idx="4392">
                <c:v>0</c:v>
              </c:pt>
              <c:pt idx="4393">
                <c:v>0</c:v>
              </c:pt>
              <c:pt idx="4394">
                <c:v>0</c:v>
              </c:pt>
              <c:pt idx="4395">
                <c:v>0</c:v>
              </c:pt>
              <c:pt idx="4396">
                <c:v>0</c:v>
              </c:pt>
              <c:pt idx="4397">
                <c:v>0</c:v>
              </c:pt>
              <c:pt idx="4398">
                <c:v>0</c:v>
              </c:pt>
              <c:pt idx="4399">
                <c:v>0</c:v>
              </c:pt>
              <c:pt idx="4400">
                <c:v>0</c:v>
              </c:pt>
              <c:pt idx="4401">
                <c:v>0</c:v>
              </c:pt>
              <c:pt idx="4402">
                <c:v>0</c:v>
              </c:pt>
              <c:pt idx="4403">
                <c:v>0</c:v>
              </c:pt>
              <c:pt idx="4404">
                <c:v>0</c:v>
              </c:pt>
              <c:pt idx="4405">
                <c:v>0</c:v>
              </c:pt>
              <c:pt idx="4406">
                <c:v>0</c:v>
              </c:pt>
              <c:pt idx="4407">
                <c:v>0</c:v>
              </c:pt>
              <c:pt idx="4408">
                <c:v>0</c:v>
              </c:pt>
              <c:pt idx="4409">
                <c:v>0</c:v>
              </c:pt>
              <c:pt idx="4410">
                <c:v>0</c:v>
              </c:pt>
              <c:pt idx="4411">
                <c:v>0</c:v>
              </c:pt>
              <c:pt idx="4412">
                <c:v>0</c:v>
              </c:pt>
              <c:pt idx="4413">
                <c:v>0</c:v>
              </c:pt>
              <c:pt idx="4414">
                <c:v>0</c:v>
              </c:pt>
              <c:pt idx="4415">
                <c:v>0</c:v>
              </c:pt>
              <c:pt idx="4416">
                <c:v>0</c:v>
              </c:pt>
              <c:pt idx="4417">
                <c:v>0</c:v>
              </c:pt>
              <c:pt idx="4418">
                <c:v>0</c:v>
              </c:pt>
              <c:pt idx="4419">
                <c:v>0</c:v>
              </c:pt>
              <c:pt idx="4420">
                <c:v>0</c:v>
              </c:pt>
              <c:pt idx="4421">
                <c:v>0</c:v>
              </c:pt>
              <c:pt idx="4422">
                <c:v>0</c:v>
              </c:pt>
              <c:pt idx="4423">
                <c:v>0</c:v>
              </c:pt>
              <c:pt idx="4424">
                <c:v>0</c:v>
              </c:pt>
              <c:pt idx="4425">
                <c:v>0</c:v>
              </c:pt>
              <c:pt idx="4426">
                <c:v>0</c:v>
              </c:pt>
              <c:pt idx="4427">
                <c:v>0</c:v>
              </c:pt>
              <c:pt idx="4428">
                <c:v>0</c:v>
              </c:pt>
              <c:pt idx="4429">
                <c:v>0</c:v>
              </c:pt>
              <c:pt idx="4430">
                <c:v>0</c:v>
              </c:pt>
              <c:pt idx="4431">
                <c:v>0</c:v>
              </c:pt>
              <c:pt idx="4432">
                <c:v>0</c:v>
              </c:pt>
              <c:pt idx="4433">
                <c:v>0</c:v>
              </c:pt>
              <c:pt idx="4434">
                <c:v>0</c:v>
              </c:pt>
              <c:pt idx="4435">
                <c:v>0</c:v>
              </c:pt>
              <c:pt idx="4436">
                <c:v>0</c:v>
              </c:pt>
              <c:pt idx="4437">
                <c:v>0</c:v>
              </c:pt>
              <c:pt idx="4438">
                <c:v>0</c:v>
              </c:pt>
              <c:pt idx="4439">
                <c:v>0</c:v>
              </c:pt>
              <c:pt idx="4440">
                <c:v>0</c:v>
              </c:pt>
              <c:pt idx="4441">
                <c:v>0</c:v>
              </c:pt>
              <c:pt idx="4442">
                <c:v>0</c:v>
              </c:pt>
              <c:pt idx="4443">
                <c:v>0</c:v>
              </c:pt>
              <c:pt idx="4444">
                <c:v>0</c:v>
              </c:pt>
              <c:pt idx="4445">
                <c:v>0</c:v>
              </c:pt>
              <c:pt idx="4446">
                <c:v>0</c:v>
              </c:pt>
              <c:pt idx="4447">
                <c:v>0</c:v>
              </c:pt>
              <c:pt idx="4448">
                <c:v>0</c:v>
              </c:pt>
              <c:pt idx="4449">
                <c:v>0</c:v>
              </c:pt>
              <c:pt idx="4450">
                <c:v>0</c:v>
              </c:pt>
              <c:pt idx="4451">
                <c:v>0</c:v>
              </c:pt>
              <c:pt idx="4452">
                <c:v>0</c:v>
              </c:pt>
              <c:pt idx="4453">
                <c:v>0</c:v>
              </c:pt>
              <c:pt idx="4454">
                <c:v>0</c:v>
              </c:pt>
              <c:pt idx="4455">
                <c:v>0</c:v>
              </c:pt>
              <c:pt idx="4456">
                <c:v>0</c:v>
              </c:pt>
              <c:pt idx="4457">
                <c:v>0</c:v>
              </c:pt>
              <c:pt idx="4458">
                <c:v>0</c:v>
              </c:pt>
              <c:pt idx="4459">
                <c:v>0</c:v>
              </c:pt>
              <c:pt idx="4460">
                <c:v>0</c:v>
              </c:pt>
              <c:pt idx="4461">
                <c:v>0</c:v>
              </c:pt>
              <c:pt idx="4462">
                <c:v>0</c:v>
              </c:pt>
              <c:pt idx="4463">
                <c:v>0</c:v>
              </c:pt>
              <c:pt idx="4464">
                <c:v>0</c:v>
              </c:pt>
              <c:pt idx="4465">
                <c:v>0</c:v>
              </c:pt>
              <c:pt idx="4466">
                <c:v>0</c:v>
              </c:pt>
              <c:pt idx="4467">
                <c:v>0</c:v>
              </c:pt>
              <c:pt idx="4468">
                <c:v>0</c:v>
              </c:pt>
              <c:pt idx="4469">
                <c:v>0</c:v>
              </c:pt>
              <c:pt idx="4470">
                <c:v>0</c:v>
              </c:pt>
              <c:pt idx="4471">
                <c:v>0</c:v>
              </c:pt>
              <c:pt idx="4472">
                <c:v>0</c:v>
              </c:pt>
              <c:pt idx="4473">
                <c:v>0</c:v>
              </c:pt>
              <c:pt idx="4474">
                <c:v>0</c:v>
              </c:pt>
              <c:pt idx="4475">
                <c:v>0</c:v>
              </c:pt>
              <c:pt idx="4476">
                <c:v>0</c:v>
              </c:pt>
              <c:pt idx="4477">
                <c:v>0</c:v>
              </c:pt>
              <c:pt idx="4478">
                <c:v>0</c:v>
              </c:pt>
              <c:pt idx="4479">
                <c:v>0</c:v>
              </c:pt>
              <c:pt idx="4480">
                <c:v>0</c:v>
              </c:pt>
              <c:pt idx="4481">
                <c:v>0</c:v>
              </c:pt>
              <c:pt idx="4482">
                <c:v>0</c:v>
              </c:pt>
              <c:pt idx="4483">
                <c:v>0</c:v>
              </c:pt>
              <c:pt idx="4484">
                <c:v>0</c:v>
              </c:pt>
              <c:pt idx="4485">
                <c:v>0</c:v>
              </c:pt>
              <c:pt idx="4486">
                <c:v>0</c:v>
              </c:pt>
              <c:pt idx="4487">
                <c:v>0</c:v>
              </c:pt>
              <c:pt idx="4488">
                <c:v>0</c:v>
              </c:pt>
              <c:pt idx="4489">
                <c:v>0</c:v>
              </c:pt>
              <c:pt idx="4490">
                <c:v>0</c:v>
              </c:pt>
              <c:pt idx="4491">
                <c:v>0</c:v>
              </c:pt>
              <c:pt idx="4492">
                <c:v>0</c:v>
              </c:pt>
              <c:pt idx="4493">
                <c:v>0</c:v>
              </c:pt>
              <c:pt idx="4494">
                <c:v>0</c:v>
              </c:pt>
              <c:pt idx="4495">
                <c:v>0</c:v>
              </c:pt>
              <c:pt idx="4496">
                <c:v>0</c:v>
              </c:pt>
              <c:pt idx="4497">
                <c:v>0</c:v>
              </c:pt>
              <c:pt idx="4498">
                <c:v>0</c:v>
              </c:pt>
              <c:pt idx="4499">
                <c:v>0</c:v>
              </c:pt>
              <c:pt idx="4500">
                <c:v>0</c:v>
              </c:pt>
              <c:pt idx="4501">
                <c:v>0</c:v>
              </c:pt>
              <c:pt idx="4502">
                <c:v>0</c:v>
              </c:pt>
              <c:pt idx="4503">
                <c:v>0</c:v>
              </c:pt>
              <c:pt idx="4504">
                <c:v>0</c:v>
              </c:pt>
              <c:pt idx="4505">
                <c:v>0</c:v>
              </c:pt>
              <c:pt idx="4506">
                <c:v>0</c:v>
              </c:pt>
              <c:pt idx="4507">
                <c:v>0</c:v>
              </c:pt>
              <c:pt idx="4508">
                <c:v>0</c:v>
              </c:pt>
              <c:pt idx="4509">
                <c:v>0</c:v>
              </c:pt>
              <c:pt idx="4510">
                <c:v>0</c:v>
              </c:pt>
              <c:pt idx="4511">
                <c:v>0</c:v>
              </c:pt>
              <c:pt idx="4512">
                <c:v>0</c:v>
              </c:pt>
              <c:pt idx="4513">
                <c:v>0</c:v>
              </c:pt>
              <c:pt idx="4514">
                <c:v>0</c:v>
              </c:pt>
              <c:pt idx="4515">
                <c:v>0</c:v>
              </c:pt>
              <c:pt idx="4516">
                <c:v>0</c:v>
              </c:pt>
              <c:pt idx="4517">
                <c:v>0</c:v>
              </c:pt>
              <c:pt idx="4518">
                <c:v>0</c:v>
              </c:pt>
              <c:pt idx="4519">
                <c:v>0</c:v>
              </c:pt>
              <c:pt idx="4520">
                <c:v>0</c:v>
              </c:pt>
              <c:pt idx="4521">
                <c:v>0</c:v>
              </c:pt>
              <c:pt idx="4522">
                <c:v>0</c:v>
              </c:pt>
              <c:pt idx="4523">
                <c:v>0</c:v>
              </c:pt>
              <c:pt idx="4524">
                <c:v>0</c:v>
              </c:pt>
              <c:pt idx="4525">
                <c:v>0</c:v>
              </c:pt>
              <c:pt idx="4526">
                <c:v>0</c:v>
              </c:pt>
              <c:pt idx="4527">
                <c:v>0</c:v>
              </c:pt>
              <c:pt idx="4528">
                <c:v>0</c:v>
              </c:pt>
              <c:pt idx="4529">
                <c:v>0</c:v>
              </c:pt>
              <c:pt idx="4530">
                <c:v>0</c:v>
              </c:pt>
              <c:pt idx="4531">
                <c:v>0</c:v>
              </c:pt>
              <c:pt idx="4532">
                <c:v>0</c:v>
              </c:pt>
              <c:pt idx="4533">
                <c:v>0</c:v>
              </c:pt>
              <c:pt idx="4534">
                <c:v>0</c:v>
              </c:pt>
              <c:pt idx="4535">
                <c:v>0</c:v>
              </c:pt>
              <c:pt idx="4536">
                <c:v>0</c:v>
              </c:pt>
              <c:pt idx="4537">
                <c:v>0</c:v>
              </c:pt>
              <c:pt idx="4538">
                <c:v>0</c:v>
              </c:pt>
              <c:pt idx="4539">
                <c:v>0</c:v>
              </c:pt>
              <c:pt idx="4540">
                <c:v>0</c:v>
              </c:pt>
              <c:pt idx="4541">
                <c:v>0</c:v>
              </c:pt>
              <c:pt idx="4542">
                <c:v>0</c:v>
              </c:pt>
              <c:pt idx="4543">
                <c:v>0</c:v>
              </c:pt>
              <c:pt idx="4544">
                <c:v>0</c:v>
              </c:pt>
              <c:pt idx="4545">
                <c:v>0</c:v>
              </c:pt>
              <c:pt idx="4546">
                <c:v>0</c:v>
              </c:pt>
              <c:pt idx="4547">
                <c:v>0</c:v>
              </c:pt>
              <c:pt idx="4548">
                <c:v>0</c:v>
              </c:pt>
              <c:pt idx="4549">
                <c:v>0</c:v>
              </c:pt>
              <c:pt idx="4550">
                <c:v>0</c:v>
              </c:pt>
              <c:pt idx="4551">
                <c:v>0</c:v>
              </c:pt>
              <c:pt idx="4552">
                <c:v>0</c:v>
              </c:pt>
              <c:pt idx="4553">
                <c:v>0</c:v>
              </c:pt>
              <c:pt idx="4554">
                <c:v>0</c:v>
              </c:pt>
              <c:pt idx="4555">
                <c:v>0</c:v>
              </c:pt>
              <c:pt idx="4556">
                <c:v>0</c:v>
              </c:pt>
              <c:pt idx="4557">
                <c:v>0</c:v>
              </c:pt>
              <c:pt idx="4558">
                <c:v>0</c:v>
              </c:pt>
              <c:pt idx="4559">
                <c:v>0</c:v>
              </c:pt>
              <c:pt idx="4560">
                <c:v>0</c:v>
              </c:pt>
              <c:pt idx="4561">
                <c:v>0</c:v>
              </c:pt>
              <c:pt idx="4562">
                <c:v>0</c:v>
              </c:pt>
              <c:pt idx="4563">
                <c:v>0</c:v>
              </c:pt>
              <c:pt idx="4564">
                <c:v>0</c:v>
              </c:pt>
              <c:pt idx="4565">
                <c:v>0</c:v>
              </c:pt>
              <c:pt idx="4566">
                <c:v>0</c:v>
              </c:pt>
              <c:pt idx="4567">
                <c:v>0</c:v>
              </c:pt>
              <c:pt idx="4568">
                <c:v>0</c:v>
              </c:pt>
              <c:pt idx="4569">
                <c:v>0</c:v>
              </c:pt>
              <c:pt idx="4570">
                <c:v>0</c:v>
              </c:pt>
              <c:pt idx="4571">
                <c:v>0</c:v>
              </c:pt>
              <c:pt idx="4572">
                <c:v>0</c:v>
              </c:pt>
              <c:pt idx="4573">
                <c:v>0</c:v>
              </c:pt>
              <c:pt idx="4574">
                <c:v>0</c:v>
              </c:pt>
              <c:pt idx="4575">
                <c:v>0</c:v>
              </c:pt>
              <c:pt idx="4576">
                <c:v>0</c:v>
              </c:pt>
              <c:pt idx="4577">
                <c:v>0</c:v>
              </c:pt>
              <c:pt idx="4578">
                <c:v>0</c:v>
              </c:pt>
              <c:pt idx="4579">
                <c:v>0</c:v>
              </c:pt>
              <c:pt idx="4580">
                <c:v>0</c:v>
              </c:pt>
              <c:pt idx="4581">
                <c:v>0</c:v>
              </c:pt>
              <c:pt idx="4582">
                <c:v>0</c:v>
              </c:pt>
              <c:pt idx="4583">
                <c:v>0</c:v>
              </c:pt>
              <c:pt idx="4584">
                <c:v>0</c:v>
              </c:pt>
              <c:pt idx="4585">
                <c:v>0</c:v>
              </c:pt>
              <c:pt idx="4586">
                <c:v>0</c:v>
              </c:pt>
              <c:pt idx="4587">
                <c:v>0</c:v>
              </c:pt>
              <c:pt idx="4588">
                <c:v>0</c:v>
              </c:pt>
              <c:pt idx="4589">
                <c:v>0</c:v>
              </c:pt>
              <c:pt idx="4590">
                <c:v>0</c:v>
              </c:pt>
              <c:pt idx="4591">
                <c:v>0</c:v>
              </c:pt>
              <c:pt idx="4592">
                <c:v>0</c:v>
              </c:pt>
              <c:pt idx="4593">
                <c:v>0</c:v>
              </c:pt>
              <c:pt idx="4594">
                <c:v>0</c:v>
              </c:pt>
              <c:pt idx="4595">
                <c:v>0</c:v>
              </c:pt>
              <c:pt idx="4596">
                <c:v>0</c:v>
              </c:pt>
              <c:pt idx="4597">
                <c:v>0</c:v>
              </c:pt>
              <c:pt idx="4598">
                <c:v>0</c:v>
              </c:pt>
              <c:pt idx="4599">
                <c:v>0</c:v>
              </c:pt>
              <c:pt idx="4600">
                <c:v>0</c:v>
              </c:pt>
              <c:pt idx="4601">
                <c:v>0</c:v>
              </c:pt>
              <c:pt idx="4602">
                <c:v>0</c:v>
              </c:pt>
              <c:pt idx="4603">
                <c:v>0</c:v>
              </c:pt>
              <c:pt idx="4604">
                <c:v>0</c:v>
              </c:pt>
              <c:pt idx="4605">
                <c:v>0</c:v>
              </c:pt>
              <c:pt idx="4606">
                <c:v>0</c:v>
              </c:pt>
              <c:pt idx="4607">
                <c:v>0</c:v>
              </c:pt>
              <c:pt idx="4608">
                <c:v>0</c:v>
              </c:pt>
              <c:pt idx="4609">
                <c:v>0</c:v>
              </c:pt>
              <c:pt idx="4610">
                <c:v>0</c:v>
              </c:pt>
              <c:pt idx="4611">
                <c:v>0</c:v>
              </c:pt>
              <c:pt idx="4612">
                <c:v>0</c:v>
              </c:pt>
              <c:pt idx="4613">
                <c:v>0</c:v>
              </c:pt>
              <c:pt idx="4614">
                <c:v>0</c:v>
              </c:pt>
              <c:pt idx="4615">
                <c:v>0</c:v>
              </c:pt>
              <c:pt idx="4616">
                <c:v>0</c:v>
              </c:pt>
              <c:pt idx="4617">
                <c:v>0</c:v>
              </c:pt>
              <c:pt idx="4618">
                <c:v>0</c:v>
              </c:pt>
              <c:pt idx="4619">
                <c:v>0</c:v>
              </c:pt>
              <c:pt idx="4620">
                <c:v>0</c:v>
              </c:pt>
              <c:pt idx="4621">
                <c:v>0</c:v>
              </c:pt>
              <c:pt idx="4622">
                <c:v>0</c:v>
              </c:pt>
              <c:pt idx="4623">
                <c:v>0</c:v>
              </c:pt>
              <c:pt idx="4624">
                <c:v>0</c:v>
              </c:pt>
              <c:pt idx="4625">
                <c:v>0</c:v>
              </c:pt>
              <c:pt idx="4626">
                <c:v>0</c:v>
              </c:pt>
              <c:pt idx="4627">
                <c:v>0</c:v>
              </c:pt>
              <c:pt idx="4628">
                <c:v>0</c:v>
              </c:pt>
              <c:pt idx="4629">
                <c:v>0</c:v>
              </c:pt>
              <c:pt idx="4630">
                <c:v>0</c:v>
              </c:pt>
              <c:pt idx="4631">
                <c:v>0</c:v>
              </c:pt>
              <c:pt idx="4632">
                <c:v>0</c:v>
              </c:pt>
              <c:pt idx="4633">
                <c:v>0</c:v>
              </c:pt>
              <c:pt idx="4634">
                <c:v>0</c:v>
              </c:pt>
              <c:pt idx="4635">
                <c:v>0</c:v>
              </c:pt>
              <c:pt idx="4636">
                <c:v>0</c:v>
              </c:pt>
              <c:pt idx="4637">
                <c:v>0</c:v>
              </c:pt>
              <c:pt idx="4638">
                <c:v>0</c:v>
              </c:pt>
              <c:pt idx="4639">
                <c:v>0</c:v>
              </c:pt>
              <c:pt idx="4640">
                <c:v>0</c:v>
              </c:pt>
              <c:pt idx="4641">
                <c:v>0</c:v>
              </c:pt>
              <c:pt idx="4642">
                <c:v>0</c:v>
              </c:pt>
              <c:pt idx="4643">
                <c:v>0</c:v>
              </c:pt>
              <c:pt idx="4644">
                <c:v>0</c:v>
              </c:pt>
              <c:pt idx="4645">
                <c:v>0</c:v>
              </c:pt>
              <c:pt idx="4646">
                <c:v>0</c:v>
              </c:pt>
              <c:pt idx="4647">
                <c:v>0</c:v>
              </c:pt>
              <c:pt idx="4648">
                <c:v>0</c:v>
              </c:pt>
              <c:pt idx="4649">
                <c:v>0</c:v>
              </c:pt>
              <c:pt idx="4650">
                <c:v>0</c:v>
              </c:pt>
              <c:pt idx="4651">
                <c:v>0</c:v>
              </c:pt>
              <c:pt idx="4652">
                <c:v>0</c:v>
              </c:pt>
              <c:pt idx="4653">
                <c:v>0</c:v>
              </c:pt>
              <c:pt idx="4654">
                <c:v>0</c:v>
              </c:pt>
              <c:pt idx="4655">
                <c:v>0</c:v>
              </c:pt>
              <c:pt idx="4656">
                <c:v>0</c:v>
              </c:pt>
              <c:pt idx="4657">
                <c:v>0</c:v>
              </c:pt>
              <c:pt idx="4658">
                <c:v>0</c:v>
              </c:pt>
              <c:pt idx="4659">
                <c:v>0</c:v>
              </c:pt>
              <c:pt idx="4660">
                <c:v>0</c:v>
              </c:pt>
              <c:pt idx="4661">
                <c:v>0</c:v>
              </c:pt>
              <c:pt idx="4662">
                <c:v>0</c:v>
              </c:pt>
              <c:pt idx="4663">
                <c:v>0</c:v>
              </c:pt>
              <c:pt idx="4664">
                <c:v>0</c:v>
              </c:pt>
              <c:pt idx="4665">
                <c:v>0</c:v>
              </c:pt>
              <c:pt idx="4666">
                <c:v>0</c:v>
              </c:pt>
              <c:pt idx="4667">
                <c:v>0</c:v>
              </c:pt>
              <c:pt idx="4668">
                <c:v>0</c:v>
              </c:pt>
              <c:pt idx="4669">
                <c:v>0</c:v>
              </c:pt>
              <c:pt idx="4670">
                <c:v>0</c:v>
              </c:pt>
              <c:pt idx="4671">
                <c:v>0</c:v>
              </c:pt>
              <c:pt idx="4672">
                <c:v>0</c:v>
              </c:pt>
              <c:pt idx="4673">
                <c:v>0</c:v>
              </c:pt>
              <c:pt idx="4674">
                <c:v>0</c:v>
              </c:pt>
              <c:pt idx="4675">
                <c:v>0</c:v>
              </c:pt>
              <c:pt idx="4676">
                <c:v>0</c:v>
              </c:pt>
              <c:pt idx="4677">
                <c:v>0</c:v>
              </c:pt>
              <c:pt idx="4678">
                <c:v>0</c:v>
              </c:pt>
              <c:pt idx="4679">
                <c:v>0</c:v>
              </c:pt>
              <c:pt idx="4680">
                <c:v>0</c:v>
              </c:pt>
              <c:pt idx="4681">
                <c:v>0</c:v>
              </c:pt>
              <c:pt idx="4682">
                <c:v>0</c:v>
              </c:pt>
              <c:pt idx="4683">
                <c:v>0</c:v>
              </c:pt>
              <c:pt idx="4684">
                <c:v>0</c:v>
              </c:pt>
              <c:pt idx="4685">
                <c:v>0</c:v>
              </c:pt>
              <c:pt idx="4686">
                <c:v>0</c:v>
              </c:pt>
              <c:pt idx="4687">
                <c:v>0</c:v>
              </c:pt>
              <c:pt idx="4688">
                <c:v>0</c:v>
              </c:pt>
              <c:pt idx="4689">
                <c:v>0</c:v>
              </c:pt>
              <c:pt idx="4690">
                <c:v>0</c:v>
              </c:pt>
              <c:pt idx="4691">
                <c:v>0</c:v>
              </c:pt>
              <c:pt idx="4692">
                <c:v>0</c:v>
              </c:pt>
              <c:pt idx="4693">
                <c:v>0</c:v>
              </c:pt>
              <c:pt idx="4694">
                <c:v>0</c:v>
              </c:pt>
              <c:pt idx="4695">
                <c:v>0</c:v>
              </c:pt>
              <c:pt idx="4696">
                <c:v>0</c:v>
              </c:pt>
              <c:pt idx="4697">
                <c:v>0</c:v>
              </c:pt>
              <c:pt idx="4698">
                <c:v>0</c:v>
              </c:pt>
              <c:pt idx="4699">
                <c:v>0</c:v>
              </c:pt>
              <c:pt idx="4700">
                <c:v>0</c:v>
              </c:pt>
              <c:pt idx="4701">
                <c:v>0</c:v>
              </c:pt>
              <c:pt idx="4702">
                <c:v>0</c:v>
              </c:pt>
              <c:pt idx="4703">
                <c:v>0</c:v>
              </c:pt>
              <c:pt idx="4704">
                <c:v>0</c:v>
              </c:pt>
              <c:pt idx="4705">
                <c:v>0</c:v>
              </c:pt>
              <c:pt idx="4706">
                <c:v>0</c:v>
              </c:pt>
              <c:pt idx="4707">
                <c:v>0</c:v>
              </c:pt>
              <c:pt idx="4708">
                <c:v>0</c:v>
              </c:pt>
              <c:pt idx="4709">
                <c:v>0</c:v>
              </c:pt>
              <c:pt idx="4710">
                <c:v>0</c:v>
              </c:pt>
              <c:pt idx="4711">
                <c:v>0</c:v>
              </c:pt>
              <c:pt idx="4712">
                <c:v>0</c:v>
              </c:pt>
              <c:pt idx="4713">
                <c:v>0</c:v>
              </c:pt>
              <c:pt idx="4714">
                <c:v>0</c:v>
              </c:pt>
              <c:pt idx="4715">
                <c:v>0</c:v>
              </c:pt>
              <c:pt idx="4716">
                <c:v>0</c:v>
              </c:pt>
              <c:pt idx="4717">
                <c:v>0</c:v>
              </c:pt>
              <c:pt idx="4718">
                <c:v>0</c:v>
              </c:pt>
              <c:pt idx="4719">
                <c:v>0</c:v>
              </c:pt>
              <c:pt idx="4720">
                <c:v>0</c:v>
              </c:pt>
              <c:pt idx="4721">
                <c:v>0</c:v>
              </c:pt>
              <c:pt idx="4722">
                <c:v>0</c:v>
              </c:pt>
              <c:pt idx="4723">
                <c:v>0</c:v>
              </c:pt>
              <c:pt idx="4724">
                <c:v>0</c:v>
              </c:pt>
              <c:pt idx="4725">
                <c:v>0</c:v>
              </c:pt>
              <c:pt idx="4726">
                <c:v>0</c:v>
              </c:pt>
              <c:pt idx="4727">
                <c:v>0</c:v>
              </c:pt>
              <c:pt idx="4728">
                <c:v>0</c:v>
              </c:pt>
              <c:pt idx="4729">
                <c:v>0</c:v>
              </c:pt>
              <c:pt idx="4730">
                <c:v>0</c:v>
              </c:pt>
              <c:pt idx="4731">
                <c:v>0</c:v>
              </c:pt>
              <c:pt idx="4732">
                <c:v>0</c:v>
              </c:pt>
              <c:pt idx="4733">
                <c:v>0</c:v>
              </c:pt>
              <c:pt idx="4734">
                <c:v>0</c:v>
              </c:pt>
              <c:pt idx="4735">
                <c:v>0</c:v>
              </c:pt>
              <c:pt idx="4736">
                <c:v>0</c:v>
              </c:pt>
              <c:pt idx="4737">
                <c:v>0</c:v>
              </c:pt>
              <c:pt idx="4738">
                <c:v>0</c:v>
              </c:pt>
              <c:pt idx="4739">
                <c:v>0</c:v>
              </c:pt>
              <c:pt idx="4740">
                <c:v>0</c:v>
              </c:pt>
              <c:pt idx="4741">
                <c:v>0</c:v>
              </c:pt>
              <c:pt idx="4742">
                <c:v>0</c:v>
              </c:pt>
              <c:pt idx="4743">
                <c:v>0</c:v>
              </c:pt>
              <c:pt idx="4744">
                <c:v>0</c:v>
              </c:pt>
              <c:pt idx="4745">
                <c:v>0</c:v>
              </c:pt>
              <c:pt idx="4746">
                <c:v>0</c:v>
              </c:pt>
              <c:pt idx="4747">
                <c:v>0</c:v>
              </c:pt>
              <c:pt idx="4748">
                <c:v>0</c:v>
              </c:pt>
              <c:pt idx="4749">
                <c:v>0</c:v>
              </c:pt>
              <c:pt idx="4750">
                <c:v>0</c:v>
              </c:pt>
              <c:pt idx="4751">
                <c:v>0</c:v>
              </c:pt>
              <c:pt idx="4752">
                <c:v>0</c:v>
              </c:pt>
              <c:pt idx="4753">
                <c:v>0</c:v>
              </c:pt>
              <c:pt idx="4754">
                <c:v>0</c:v>
              </c:pt>
              <c:pt idx="4755">
                <c:v>0</c:v>
              </c:pt>
              <c:pt idx="4756">
                <c:v>0</c:v>
              </c:pt>
              <c:pt idx="4757">
                <c:v>0</c:v>
              </c:pt>
              <c:pt idx="4758">
                <c:v>0</c:v>
              </c:pt>
              <c:pt idx="4759">
                <c:v>0</c:v>
              </c:pt>
              <c:pt idx="4760">
                <c:v>0</c:v>
              </c:pt>
              <c:pt idx="4761">
                <c:v>0</c:v>
              </c:pt>
              <c:pt idx="4762">
                <c:v>0</c:v>
              </c:pt>
              <c:pt idx="4763">
                <c:v>0</c:v>
              </c:pt>
              <c:pt idx="4764">
                <c:v>0</c:v>
              </c:pt>
              <c:pt idx="4765">
                <c:v>0</c:v>
              </c:pt>
              <c:pt idx="4766">
                <c:v>0</c:v>
              </c:pt>
              <c:pt idx="4767">
                <c:v>0</c:v>
              </c:pt>
              <c:pt idx="4768">
                <c:v>0</c:v>
              </c:pt>
              <c:pt idx="4769">
                <c:v>0</c:v>
              </c:pt>
              <c:pt idx="4770">
                <c:v>0</c:v>
              </c:pt>
              <c:pt idx="4771">
                <c:v>0</c:v>
              </c:pt>
              <c:pt idx="4772">
                <c:v>0</c:v>
              </c:pt>
              <c:pt idx="4773">
                <c:v>0</c:v>
              </c:pt>
              <c:pt idx="4774">
                <c:v>0</c:v>
              </c:pt>
              <c:pt idx="4775">
                <c:v>0</c:v>
              </c:pt>
              <c:pt idx="4776">
                <c:v>0</c:v>
              </c:pt>
              <c:pt idx="4777">
                <c:v>0</c:v>
              </c:pt>
              <c:pt idx="4778">
                <c:v>0</c:v>
              </c:pt>
              <c:pt idx="4779">
                <c:v>0</c:v>
              </c:pt>
              <c:pt idx="4780">
                <c:v>0</c:v>
              </c:pt>
              <c:pt idx="4781">
                <c:v>0</c:v>
              </c:pt>
              <c:pt idx="4782">
                <c:v>0</c:v>
              </c:pt>
              <c:pt idx="4783">
                <c:v>0</c:v>
              </c:pt>
              <c:pt idx="4784">
                <c:v>0</c:v>
              </c:pt>
              <c:pt idx="4785">
                <c:v>0</c:v>
              </c:pt>
              <c:pt idx="4786">
                <c:v>0</c:v>
              </c:pt>
              <c:pt idx="4787">
                <c:v>0</c:v>
              </c:pt>
              <c:pt idx="4788">
                <c:v>0</c:v>
              </c:pt>
              <c:pt idx="4789">
                <c:v>0</c:v>
              </c:pt>
              <c:pt idx="4790">
                <c:v>0</c:v>
              </c:pt>
              <c:pt idx="4791">
                <c:v>0</c:v>
              </c:pt>
              <c:pt idx="4792">
                <c:v>0</c:v>
              </c:pt>
              <c:pt idx="4793">
                <c:v>0</c:v>
              </c:pt>
              <c:pt idx="4794">
                <c:v>0</c:v>
              </c:pt>
              <c:pt idx="4795">
                <c:v>0</c:v>
              </c:pt>
              <c:pt idx="4796">
                <c:v>0</c:v>
              </c:pt>
              <c:pt idx="4797">
                <c:v>0</c:v>
              </c:pt>
              <c:pt idx="4798">
                <c:v>0</c:v>
              </c:pt>
              <c:pt idx="4799">
                <c:v>0</c:v>
              </c:pt>
              <c:pt idx="4800">
                <c:v>0</c:v>
              </c:pt>
              <c:pt idx="4801">
                <c:v>0</c:v>
              </c:pt>
              <c:pt idx="4802">
                <c:v>0</c:v>
              </c:pt>
              <c:pt idx="4803">
                <c:v>0</c:v>
              </c:pt>
              <c:pt idx="4804">
                <c:v>0</c:v>
              </c:pt>
              <c:pt idx="4805">
                <c:v>0</c:v>
              </c:pt>
              <c:pt idx="4806">
                <c:v>0</c:v>
              </c:pt>
              <c:pt idx="4807">
                <c:v>0</c:v>
              </c:pt>
              <c:pt idx="4808">
                <c:v>0</c:v>
              </c:pt>
              <c:pt idx="4809">
                <c:v>0</c:v>
              </c:pt>
              <c:pt idx="4810">
                <c:v>0</c:v>
              </c:pt>
              <c:pt idx="4811">
                <c:v>0</c:v>
              </c:pt>
              <c:pt idx="4812">
                <c:v>0</c:v>
              </c:pt>
              <c:pt idx="4813">
                <c:v>0</c:v>
              </c:pt>
              <c:pt idx="4814">
                <c:v>0</c:v>
              </c:pt>
              <c:pt idx="4815">
                <c:v>0</c:v>
              </c:pt>
              <c:pt idx="4816">
                <c:v>0</c:v>
              </c:pt>
              <c:pt idx="4817">
                <c:v>0</c:v>
              </c:pt>
              <c:pt idx="4818">
                <c:v>0</c:v>
              </c:pt>
              <c:pt idx="4819">
                <c:v>0</c:v>
              </c:pt>
              <c:pt idx="4820">
                <c:v>0</c:v>
              </c:pt>
              <c:pt idx="4821">
                <c:v>0</c:v>
              </c:pt>
              <c:pt idx="4822">
                <c:v>0</c:v>
              </c:pt>
              <c:pt idx="4823">
                <c:v>0</c:v>
              </c:pt>
              <c:pt idx="4824">
                <c:v>0</c:v>
              </c:pt>
              <c:pt idx="4825">
                <c:v>0</c:v>
              </c:pt>
              <c:pt idx="4826">
                <c:v>0</c:v>
              </c:pt>
              <c:pt idx="4827">
                <c:v>0</c:v>
              </c:pt>
              <c:pt idx="4828">
                <c:v>0</c:v>
              </c:pt>
              <c:pt idx="4829">
                <c:v>0</c:v>
              </c:pt>
              <c:pt idx="4830">
                <c:v>0</c:v>
              </c:pt>
              <c:pt idx="4831">
                <c:v>0</c:v>
              </c:pt>
              <c:pt idx="4832">
                <c:v>0</c:v>
              </c:pt>
              <c:pt idx="4833">
                <c:v>0</c:v>
              </c:pt>
              <c:pt idx="4834">
                <c:v>0</c:v>
              </c:pt>
              <c:pt idx="4835">
                <c:v>0</c:v>
              </c:pt>
              <c:pt idx="4836">
                <c:v>0</c:v>
              </c:pt>
              <c:pt idx="4837">
                <c:v>0</c:v>
              </c:pt>
              <c:pt idx="4838">
                <c:v>0</c:v>
              </c:pt>
              <c:pt idx="4839">
                <c:v>0</c:v>
              </c:pt>
              <c:pt idx="4840">
                <c:v>0</c:v>
              </c:pt>
              <c:pt idx="4841">
                <c:v>0</c:v>
              </c:pt>
              <c:pt idx="4842">
                <c:v>0</c:v>
              </c:pt>
              <c:pt idx="4843">
                <c:v>0</c:v>
              </c:pt>
              <c:pt idx="4844">
                <c:v>0</c:v>
              </c:pt>
              <c:pt idx="4845">
                <c:v>0</c:v>
              </c:pt>
              <c:pt idx="4846">
                <c:v>0</c:v>
              </c:pt>
              <c:pt idx="4847">
                <c:v>0</c:v>
              </c:pt>
              <c:pt idx="4848">
                <c:v>0</c:v>
              </c:pt>
              <c:pt idx="4849">
                <c:v>0</c:v>
              </c:pt>
              <c:pt idx="4850">
                <c:v>0</c:v>
              </c:pt>
              <c:pt idx="4851">
                <c:v>0</c:v>
              </c:pt>
              <c:pt idx="4852">
                <c:v>0</c:v>
              </c:pt>
              <c:pt idx="4853">
                <c:v>0</c:v>
              </c:pt>
              <c:pt idx="4854">
                <c:v>0</c:v>
              </c:pt>
              <c:pt idx="4855">
                <c:v>0</c:v>
              </c:pt>
              <c:pt idx="4856">
                <c:v>0</c:v>
              </c:pt>
              <c:pt idx="4857">
                <c:v>0</c:v>
              </c:pt>
              <c:pt idx="4858">
                <c:v>0</c:v>
              </c:pt>
              <c:pt idx="4859">
                <c:v>0</c:v>
              </c:pt>
              <c:pt idx="4860">
                <c:v>0</c:v>
              </c:pt>
              <c:pt idx="4861">
                <c:v>0</c:v>
              </c:pt>
              <c:pt idx="4862">
                <c:v>0</c:v>
              </c:pt>
              <c:pt idx="4863">
                <c:v>0</c:v>
              </c:pt>
              <c:pt idx="4864">
                <c:v>0</c:v>
              </c:pt>
              <c:pt idx="4865">
                <c:v>0</c:v>
              </c:pt>
              <c:pt idx="4866">
                <c:v>0</c:v>
              </c:pt>
              <c:pt idx="4867">
                <c:v>0</c:v>
              </c:pt>
              <c:pt idx="4868">
                <c:v>0</c:v>
              </c:pt>
              <c:pt idx="4869">
                <c:v>0</c:v>
              </c:pt>
              <c:pt idx="4870">
                <c:v>0</c:v>
              </c:pt>
              <c:pt idx="4871">
                <c:v>0</c:v>
              </c:pt>
              <c:pt idx="4872">
                <c:v>0</c:v>
              </c:pt>
              <c:pt idx="4873">
                <c:v>0</c:v>
              </c:pt>
              <c:pt idx="4874">
                <c:v>0</c:v>
              </c:pt>
              <c:pt idx="4875">
                <c:v>0</c:v>
              </c:pt>
              <c:pt idx="4876">
                <c:v>0</c:v>
              </c:pt>
              <c:pt idx="4877">
                <c:v>0</c:v>
              </c:pt>
              <c:pt idx="4878">
                <c:v>0</c:v>
              </c:pt>
              <c:pt idx="4879">
                <c:v>0</c:v>
              </c:pt>
              <c:pt idx="4880">
                <c:v>0</c:v>
              </c:pt>
              <c:pt idx="4881">
                <c:v>0</c:v>
              </c:pt>
              <c:pt idx="4882">
                <c:v>0</c:v>
              </c:pt>
              <c:pt idx="4883">
                <c:v>0</c:v>
              </c:pt>
              <c:pt idx="4884">
                <c:v>0</c:v>
              </c:pt>
              <c:pt idx="4885">
                <c:v>0</c:v>
              </c:pt>
              <c:pt idx="4886">
                <c:v>0</c:v>
              </c:pt>
              <c:pt idx="4887">
                <c:v>0</c:v>
              </c:pt>
              <c:pt idx="4888">
                <c:v>0</c:v>
              </c:pt>
              <c:pt idx="4889">
                <c:v>0</c:v>
              </c:pt>
              <c:pt idx="4890">
                <c:v>0</c:v>
              </c:pt>
              <c:pt idx="4891">
                <c:v>0</c:v>
              </c:pt>
              <c:pt idx="4892">
                <c:v>0</c:v>
              </c:pt>
              <c:pt idx="4893">
                <c:v>0</c:v>
              </c:pt>
              <c:pt idx="4894">
                <c:v>0</c:v>
              </c:pt>
              <c:pt idx="4895">
                <c:v>0</c:v>
              </c:pt>
              <c:pt idx="4896">
                <c:v>0</c:v>
              </c:pt>
              <c:pt idx="4897">
                <c:v>0</c:v>
              </c:pt>
              <c:pt idx="4898">
                <c:v>0</c:v>
              </c:pt>
              <c:pt idx="4899">
                <c:v>0</c:v>
              </c:pt>
              <c:pt idx="4900">
                <c:v>0</c:v>
              </c:pt>
              <c:pt idx="4901">
                <c:v>0</c:v>
              </c:pt>
              <c:pt idx="4902">
                <c:v>0</c:v>
              </c:pt>
              <c:pt idx="4903">
                <c:v>0</c:v>
              </c:pt>
              <c:pt idx="4904">
                <c:v>0</c:v>
              </c:pt>
              <c:pt idx="4905">
                <c:v>0</c:v>
              </c:pt>
              <c:pt idx="4906">
                <c:v>0</c:v>
              </c:pt>
              <c:pt idx="4907">
                <c:v>0</c:v>
              </c:pt>
              <c:pt idx="4908">
                <c:v>0</c:v>
              </c:pt>
              <c:pt idx="4909">
                <c:v>0</c:v>
              </c:pt>
              <c:pt idx="4910">
                <c:v>0</c:v>
              </c:pt>
              <c:pt idx="4911">
                <c:v>0</c:v>
              </c:pt>
              <c:pt idx="4912">
                <c:v>0</c:v>
              </c:pt>
              <c:pt idx="4913">
                <c:v>0</c:v>
              </c:pt>
              <c:pt idx="4914">
                <c:v>0</c:v>
              </c:pt>
              <c:pt idx="4915">
                <c:v>0</c:v>
              </c:pt>
              <c:pt idx="4916">
                <c:v>0</c:v>
              </c:pt>
              <c:pt idx="4917">
                <c:v>0</c:v>
              </c:pt>
              <c:pt idx="4918">
                <c:v>0</c:v>
              </c:pt>
              <c:pt idx="4919">
                <c:v>0</c:v>
              </c:pt>
              <c:pt idx="4920">
                <c:v>0</c:v>
              </c:pt>
              <c:pt idx="4921">
                <c:v>0</c:v>
              </c:pt>
              <c:pt idx="4922">
                <c:v>0</c:v>
              </c:pt>
              <c:pt idx="4923">
                <c:v>0</c:v>
              </c:pt>
              <c:pt idx="4924">
                <c:v>0</c:v>
              </c:pt>
              <c:pt idx="4925">
                <c:v>0</c:v>
              </c:pt>
              <c:pt idx="4926">
                <c:v>0</c:v>
              </c:pt>
              <c:pt idx="4927">
                <c:v>0</c:v>
              </c:pt>
              <c:pt idx="4928">
                <c:v>0</c:v>
              </c:pt>
              <c:pt idx="4929">
                <c:v>0</c:v>
              </c:pt>
              <c:pt idx="4930">
                <c:v>0</c:v>
              </c:pt>
              <c:pt idx="4931">
                <c:v>0</c:v>
              </c:pt>
              <c:pt idx="4932">
                <c:v>0</c:v>
              </c:pt>
              <c:pt idx="4933">
                <c:v>0</c:v>
              </c:pt>
              <c:pt idx="4934">
                <c:v>0</c:v>
              </c:pt>
              <c:pt idx="4935">
                <c:v>0</c:v>
              </c:pt>
              <c:pt idx="4936">
                <c:v>0</c:v>
              </c:pt>
              <c:pt idx="4937">
                <c:v>0</c:v>
              </c:pt>
              <c:pt idx="4938">
                <c:v>0</c:v>
              </c:pt>
              <c:pt idx="4939">
                <c:v>0</c:v>
              </c:pt>
              <c:pt idx="4940">
                <c:v>0</c:v>
              </c:pt>
              <c:pt idx="4941">
                <c:v>0</c:v>
              </c:pt>
              <c:pt idx="4942">
                <c:v>0</c:v>
              </c:pt>
              <c:pt idx="4943">
                <c:v>0</c:v>
              </c:pt>
              <c:pt idx="4944">
                <c:v>0</c:v>
              </c:pt>
              <c:pt idx="4945">
                <c:v>0</c:v>
              </c:pt>
              <c:pt idx="4946">
                <c:v>0</c:v>
              </c:pt>
              <c:pt idx="4947">
                <c:v>0</c:v>
              </c:pt>
              <c:pt idx="4948">
                <c:v>0</c:v>
              </c:pt>
              <c:pt idx="4949">
                <c:v>0</c:v>
              </c:pt>
              <c:pt idx="4950">
                <c:v>0</c:v>
              </c:pt>
              <c:pt idx="4951">
                <c:v>0</c:v>
              </c:pt>
              <c:pt idx="4952">
                <c:v>0</c:v>
              </c:pt>
              <c:pt idx="4953">
                <c:v>0</c:v>
              </c:pt>
              <c:pt idx="4954">
                <c:v>0</c:v>
              </c:pt>
              <c:pt idx="4955">
                <c:v>0</c:v>
              </c:pt>
              <c:pt idx="4956">
                <c:v>0</c:v>
              </c:pt>
              <c:pt idx="4957">
                <c:v>0</c:v>
              </c:pt>
              <c:pt idx="4958">
                <c:v>0</c:v>
              </c:pt>
              <c:pt idx="4959">
                <c:v>0</c:v>
              </c:pt>
              <c:pt idx="4960">
                <c:v>0</c:v>
              </c:pt>
              <c:pt idx="4961">
                <c:v>0</c:v>
              </c:pt>
              <c:pt idx="4962">
                <c:v>0</c:v>
              </c:pt>
              <c:pt idx="4963">
                <c:v>0</c:v>
              </c:pt>
              <c:pt idx="4964">
                <c:v>0</c:v>
              </c:pt>
              <c:pt idx="4965">
                <c:v>0</c:v>
              </c:pt>
              <c:pt idx="4966">
                <c:v>0</c:v>
              </c:pt>
              <c:pt idx="4967">
                <c:v>0</c:v>
              </c:pt>
              <c:pt idx="4968">
                <c:v>0</c:v>
              </c:pt>
              <c:pt idx="4969">
                <c:v>0</c:v>
              </c:pt>
              <c:pt idx="4970">
                <c:v>0</c:v>
              </c:pt>
              <c:pt idx="4971">
                <c:v>0</c:v>
              </c:pt>
              <c:pt idx="4972">
                <c:v>0</c:v>
              </c:pt>
              <c:pt idx="4973">
                <c:v>0</c:v>
              </c:pt>
              <c:pt idx="4974">
                <c:v>0</c:v>
              </c:pt>
              <c:pt idx="4975">
                <c:v>0</c:v>
              </c:pt>
              <c:pt idx="4976">
                <c:v>0</c:v>
              </c:pt>
              <c:pt idx="4977">
                <c:v>0</c:v>
              </c:pt>
              <c:pt idx="4978">
                <c:v>0</c:v>
              </c:pt>
              <c:pt idx="4979">
                <c:v>0</c:v>
              </c:pt>
              <c:pt idx="4980">
                <c:v>0</c:v>
              </c:pt>
              <c:pt idx="4981">
                <c:v>0</c:v>
              </c:pt>
              <c:pt idx="4982">
                <c:v>0</c:v>
              </c:pt>
              <c:pt idx="4983">
                <c:v>0</c:v>
              </c:pt>
              <c:pt idx="4984">
                <c:v>0</c:v>
              </c:pt>
              <c:pt idx="4985">
                <c:v>0</c:v>
              </c:pt>
              <c:pt idx="4986">
                <c:v>0</c:v>
              </c:pt>
              <c:pt idx="4987">
                <c:v>0</c:v>
              </c:pt>
              <c:pt idx="4988">
                <c:v>0</c:v>
              </c:pt>
              <c:pt idx="4989">
                <c:v>0</c:v>
              </c:pt>
              <c:pt idx="4990">
                <c:v>0</c:v>
              </c:pt>
              <c:pt idx="4991">
                <c:v>0</c:v>
              </c:pt>
              <c:pt idx="4992">
                <c:v>0</c:v>
              </c:pt>
              <c:pt idx="4993">
                <c:v>0</c:v>
              </c:pt>
              <c:pt idx="4994">
                <c:v>0</c:v>
              </c:pt>
              <c:pt idx="4995">
                <c:v>0</c:v>
              </c:pt>
              <c:pt idx="4996">
                <c:v>0</c:v>
              </c:pt>
              <c:pt idx="4997">
                <c:v>0</c:v>
              </c:pt>
              <c:pt idx="4998">
                <c:v>0</c:v>
              </c:pt>
              <c:pt idx="4999">
                <c:v>0</c:v>
              </c:pt>
              <c:pt idx="5000">
                <c:v>0</c:v>
              </c:pt>
              <c:pt idx="5001">
                <c:v>0</c:v>
              </c:pt>
              <c:pt idx="5002">
                <c:v>0</c:v>
              </c:pt>
              <c:pt idx="5003">
                <c:v>0</c:v>
              </c:pt>
              <c:pt idx="5004">
                <c:v>0</c:v>
              </c:pt>
              <c:pt idx="5005">
                <c:v>0</c:v>
              </c:pt>
              <c:pt idx="5006">
                <c:v>0</c:v>
              </c:pt>
              <c:pt idx="5007">
                <c:v>0</c:v>
              </c:pt>
              <c:pt idx="5008">
                <c:v>0</c:v>
              </c:pt>
              <c:pt idx="5009">
                <c:v>0</c:v>
              </c:pt>
              <c:pt idx="5010">
                <c:v>0</c:v>
              </c:pt>
              <c:pt idx="5011">
                <c:v>0</c:v>
              </c:pt>
              <c:pt idx="5012">
                <c:v>0</c:v>
              </c:pt>
              <c:pt idx="5013">
                <c:v>0</c:v>
              </c:pt>
              <c:pt idx="5014">
                <c:v>0</c:v>
              </c:pt>
              <c:pt idx="5015">
                <c:v>0</c:v>
              </c:pt>
              <c:pt idx="5016">
                <c:v>0</c:v>
              </c:pt>
              <c:pt idx="5017">
                <c:v>0</c:v>
              </c:pt>
              <c:pt idx="5018">
                <c:v>0</c:v>
              </c:pt>
              <c:pt idx="5019">
                <c:v>0</c:v>
              </c:pt>
              <c:pt idx="5020">
                <c:v>0</c:v>
              </c:pt>
              <c:pt idx="5021">
                <c:v>0</c:v>
              </c:pt>
              <c:pt idx="5022">
                <c:v>0</c:v>
              </c:pt>
              <c:pt idx="5023">
                <c:v>0</c:v>
              </c:pt>
              <c:pt idx="5024">
                <c:v>0</c:v>
              </c:pt>
              <c:pt idx="5025">
                <c:v>0</c:v>
              </c:pt>
              <c:pt idx="5026">
                <c:v>0</c:v>
              </c:pt>
              <c:pt idx="5027">
                <c:v>0</c:v>
              </c:pt>
              <c:pt idx="5028">
                <c:v>0</c:v>
              </c:pt>
              <c:pt idx="5029">
                <c:v>0</c:v>
              </c:pt>
              <c:pt idx="5030">
                <c:v>0</c:v>
              </c:pt>
              <c:pt idx="5031">
                <c:v>0</c:v>
              </c:pt>
              <c:pt idx="5032">
                <c:v>0</c:v>
              </c:pt>
              <c:pt idx="5033">
                <c:v>0</c:v>
              </c:pt>
              <c:pt idx="5034">
                <c:v>0</c:v>
              </c:pt>
              <c:pt idx="5035">
                <c:v>0</c:v>
              </c:pt>
              <c:pt idx="5036">
                <c:v>0</c:v>
              </c:pt>
              <c:pt idx="5037">
                <c:v>0</c:v>
              </c:pt>
              <c:pt idx="5038">
                <c:v>0</c:v>
              </c:pt>
              <c:pt idx="5039">
                <c:v>0</c:v>
              </c:pt>
              <c:pt idx="5040">
                <c:v>0</c:v>
              </c:pt>
              <c:pt idx="5041">
                <c:v>0</c:v>
              </c:pt>
              <c:pt idx="5042">
                <c:v>0</c:v>
              </c:pt>
              <c:pt idx="5043">
                <c:v>0</c:v>
              </c:pt>
              <c:pt idx="5044">
                <c:v>0</c:v>
              </c:pt>
              <c:pt idx="5045">
                <c:v>0</c:v>
              </c:pt>
              <c:pt idx="5046">
                <c:v>0</c:v>
              </c:pt>
              <c:pt idx="5047">
                <c:v>0</c:v>
              </c:pt>
              <c:pt idx="5048">
                <c:v>0</c:v>
              </c:pt>
              <c:pt idx="5049">
                <c:v>0</c:v>
              </c:pt>
              <c:pt idx="5050">
                <c:v>0</c:v>
              </c:pt>
              <c:pt idx="5051">
                <c:v>0</c:v>
              </c:pt>
              <c:pt idx="505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4F-4891-86DD-C55A79FD4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258591"/>
        <c:axId val="1687896831"/>
      </c:scatterChart>
      <c:valAx>
        <c:axId val="1727258591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Roof Displacement (m)</a:t>
                </a:r>
              </a:p>
            </c:rich>
          </c:tx>
          <c:layout>
            <c:manualLayout>
              <c:xMode val="edge"/>
              <c:yMode val="edge"/>
              <c:x val="0.3794367762853173"/>
              <c:y val="0.91484863640320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896831"/>
        <c:crosses val="autoZero"/>
        <c:crossBetween val="midCat"/>
      </c:valAx>
      <c:valAx>
        <c:axId val="1687896831"/>
        <c:scaling>
          <c:orientation val="maxMin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Base Shear (kN)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585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Displaced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12726977043916E-2"/>
          <c:y val="6.6603820645921727E-2"/>
          <c:w val="0.75390666605382006"/>
          <c:h val="0.85904680110266629"/>
        </c:manualLayout>
      </c:layout>
      <c:scatterChart>
        <c:scatterStyle val="lineMarker"/>
        <c:varyColors val="0"/>
        <c:ser>
          <c:idx val="0"/>
          <c:order val="1"/>
          <c:tx>
            <c:strRef>
              <c:f>'Post-yield Mechanism'!$H$135:$H$136</c:f>
              <c:strCache>
                <c:ptCount val="2"/>
                <c:pt idx="0">
                  <c:v>LS6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Mechanism'!$H$137:$H$143</c:f>
              <c:numCache>
                <c:formatCode>0.0000</c:formatCode>
                <c:ptCount val="7"/>
                <c:pt idx="0">
                  <c:v>7.7057249062742542E-3</c:v>
                </c:pt>
                <c:pt idx="1">
                  <c:v>6.9738278327811307E-3</c:v>
                </c:pt>
                <c:pt idx="2">
                  <c:v>5.8262665026215183E-3</c:v>
                </c:pt>
                <c:pt idx="3">
                  <c:v>4.4646886891323454E-3</c:v>
                </c:pt>
                <c:pt idx="4">
                  <c:v>2.9317284859503578E-3</c:v>
                </c:pt>
                <c:pt idx="5">
                  <c:v>1.4384480649048148E-3</c:v>
                </c:pt>
                <c:pt idx="6">
                  <c:v>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3F-4B30-8305-C5A5593E6419}"/>
            </c:ext>
          </c:extLst>
        </c:ser>
        <c:ser>
          <c:idx val="7"/>
          <c:order val="7"/>
          <c:tx>
            <c:strRef>
              <c:f>'Post-yield Mechanism'!$E$125</c:f>
              <c:strCache>
                <c:ptCount val="1"/>
                <c:pt idx="0">
                  <c:v>-273.81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Mechanism'!$E$126:$E$132</c:f>
              <c:numCache>
                <c:formatCode>0.0000</c:formatCode>
                <c:ptCount val="7"/>
                <c:pt idx="0">
                  <c:v>2.7085000000000001E-2</c:v>
                </c:pt>
                <c:pt idx="1">
                  <c:v>2.4760399999999998E-2</c:v>
                </c:pt>
                <c:pt idx="2">
                  <c:v>2.1009099999999999E-2</c:v>
                </c:pt>
                <c:pt idx="3">
                  <c:v>1.61736E-2</c:v>
                </c:pt>
                <c:pt idx="4">
                  <c:v>1.08799E-2</c:v>
                </c:pt>
                <c:pt idx="5">
                  <c:v>4.2959299999999999E-3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340-48D5-890A-C34C7397433E}"/>
            </c:ext>
          </c:extLst>
        </c:ser>
        <c:ser>
          <c:idx val="8"/>
          <c:order val="8"/>
          <c:tx>
            <c:strRef>
              <c:f>'Post-yield Mechanism'!$F$125</c:f>
              <c:strCache>
                <c:ptCount val="1"/>
                <c:pt idx="0">
                  <c:v>-368.11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Mechanism'!$F$126:$F$132</c:f>
              <c:numCache>
                <c:formatCode>0.0000</c:formatCode>
                <c:ptCount val="7"/>
                <c:pt idx="0">
                  <c:v>5.2610400000000002E-2</c:v>
                </c:pt>
                <c:pt idx="1">
                  <c:v>4.9445900000000001E-2</c:v>
                </c:pt>
                <c:pt idx="2">
                  <c:v>4.4279699999999998E-2</c:v>
                </c:pt>
                <c:pt idx="3">
                  <c:v>3.5069900000000001E-2</c:v>
                </c:pt>
                <c:pt idx="4">
                  <c:v>2.3467600000000002E-2</c:v>
                </c:pt>
                <c:pt idx="5">
                  <c:v>8.1952499999999994E-3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F37-4BD8-AD84-556855AC4800}"/>
            </c:ext>
          </c:extLst>
        </c:ser>
        <c:ser>
          <c:idx val="9"/>
          <c:order val="9"/>
          <c:tx>
            <c:strRef>
              <c:f>'Post-yield Mechanism'!$D$125</c:f>
              <c:strCache>
                <c:ptCount val="1"/>
                <c:pt idx="0">
                  <c:v>-217.76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'Post-yield Mechanism'!$D$126:$D$132</c:f>
              <c:numCache>
                <c:formatCode>0.0000</c:formatCode>
                <c:ptCount val="7"/>
                <c:pt idx="0">
                  <c:v>2.0361799999999999E-2</c:v>
                </c:pt>
                <c:pt idx="1">
                  <c:v>1.8538200000000001E-2</c:v>
                </c:pt>
                <c:pt idx="2">
                  <c:v>1.5601800000000001E-2</c:v>
                </c:pt>
                <c:pt idx="3">
                  <c:v>1.1823500000000001E-2</c:v>
                </c:pt>
                <c:pt idx="4">
                  <c:v>7.7341500000000004E-3</c:v>
                </c:pt>
                <c:pt idx="5">
                  <c:v>3.2922799999999999E-3</c:v>
                </c:pt>
                <c:pt idx="6">
                  <c:v>0</c:v>
                </c:pt>
              </c:numCache>
              <c:extLst xmlns:c15="http://schemas.microsoft.com/office/drawing/2012/chart"/>
            </c:numRef>
          </c:xVal>
          <c:yVal>
            <c:numRef>
              <c:f>'Post-yield Mechanism'!$C$126:$C$132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95A-4AC2-A670-819F4B992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27904"/>
        <c:axId val="6234351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height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'Yield Mechanism'!$D$5:$D$11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8.8706777552100251E-3</c:v>
                      </c:pt>
                      <c:pt idx="1">
                        <c:v>8.1914683464907705E-3</c:v>
                      </c:pt>
                      <c:pt idx="2">
                        <c:v>7.0182782269265949E-3</c:v>
                      </c:pt>
                      <c:pt idx="3">
                        <c:v>5.425543345951361E-3</c:v>
                      </c:pt>
                      <c:pt idx="4">
                        <c:v>3.5882357900888957E-3</c:v>
                      </c:pt>
                      <c:pt idx="5">
                        <c:v>1.6636584456677132E-3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'Yield Mechanism'!$B$5:$B$11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17.75</c:v>
                      </c:pt>
                      <c:pt idx="1">
                        <c:v>14.75</c:v>
                      </c:pt>
                      <c:pt idx="2">
                        <c:v>11.75</c:v>
                      </c:pt>
                      <c:pt idx="3">
                        <c:v>8.75</c:v>
                      </c:pt>
                      <c:pt idx="4">
                        <c:v>5.75</c:v>
                      </c:pt>
                      <c:pt idx="5">
                        <c:v>2.75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E3F-4B30-8305-C5A5593E641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Mechanism'!$D$135:$D$136</c15:sqref>
                        </c15:formulaRef>
                      </c:ext>
                    </c:extLst>
                    <c:strCache>
                      <c:ptCount val="2"/>
                      <c:pt idx="0">
                        <c:v>LS2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Mechanism'!$D$137:$D$143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7.7057249062742542E-3</c:v>
                      </c:pt>
                      <c:pt idx="1">
                        <c:v>6.9738278327811307E-3</c:v>
                      </c:pt>
                      <c:pt idx="2">
                        <c:v>5.8262665026215183E-3</c:v>
                      </c:pt>
                      <c:pt idx="3">
                        <c:v>4.4646886891323454E-3</c:v>
                      </c:pt>
                      <c:pt idx="4">
                        <c:v>2.9317284859503578E-3</c:v>
                      </c:pt>
                      <c:pt idx="5">
                        <c:v>1.4384480649048148E-3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DF1-4FDD-9269-95CE543EFDB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Mechanism'!$E$135:$E$136</c15:sqref>
                        </c15:formulaRef>
                      </c:ext>
                    </c:extLst>
                    <c:strCache>
                      <c:ptCount val="2"/>
                      <c:pt idx="0">
                        <c:v>LS3 Δi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Mechanism'!$E$137:$E$143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7.7057249062742542E-3</c:v>
                      </c:pt>
                      <c:pt idx="1">
                        <c:v>6.9738278327811307E-3</c:v>
                      </c:pt>
                      <c:pt idx="2">
                        <c:v>5.8262665026215183E-3</c:v>
                      </c:pt>
                      <c:pt idx="3">
                        <c:v>4.4646886891323454E-3</c:v>
                      </c:pt>
                      <c:pt idx="4">
                        <c:v>2.9317284859503578E-3</c:v>
                      </c:pt>
                      <c:pt idx="5">
                        <c:v>1.4384480649048148E-3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DF1-4FDD-9269-95CE543EFDB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Mechanism'!$F$135:$F$136</c15:sqref>
                        </c15:formulaRef>
                      </c:ext>
                    </c:extLst>
                    <c:strCache>
                      <c:ptCount val="2"/>
                      <c:pt idx="0">
                        <c:v>LS4 Δi 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Mechanism'!$F$137:$F$143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7.7057249062742542E-3</c:v>
                      </c:pt>
                      <c:pt idx="1">
                        <c:v>6.9738278327811307E-3</c:v>
                      </c:pt>
                      <c:pt idx="2">
                        <c:v>5.8262665026215183E-3</c:v>
                      </c:pt>
                      <c:pt idx="3">
                        <c:v>4.4646886891323454E-3</c:v>
                      </c:pt>
                      <c:pt idx="4">
                        <c:v>2.9317284859503578E-3</c:v>
                      </c:pt>
                      <c:pt idx="5">
                        <c:v>1.4384480649048148E-3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DF1-4FDD-9269-95CE543EFDB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Mechanism'!$G$135:$G$136</c15:sqref>
                        </c15:formulaRef>
                      </c:ext>
                    </c:extLst>
                    <c:strCache>
                      <c:ptCount val="2"/>
                      <c:pt idx="0">
                        <c:v>LS5 Δi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Mechanism'!$G$137:$G$143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7.7057249062742542E-3</c:v>
                      </c:pt>
                      <c:pt idx="1">
                        <c:v>6.9738278327811307E-3</c:v>
                      </c:pt>
                      <c:pt idx="2">
                        <c:v>5.8262665026215183E-3</c:v>
                      </c:pt>
                      <c:pt idx="3">
                        <c:v>4.4646886891323454E-3</c:v>
                      </c:pt>
                      <c:pt idx="4">
                        <c:v>2.9317284859503578E-3</c:v>
                      </c:pt>
                      <c:pt idx="5">
                        <c:v>1.4384480649048148E-3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1-4FDD-9269-95CE543EFDB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Mechanism'!$H$135:$H$136</c15:sqref>
                        </c15:formulaRef>
                      </c:ext>
                    </c:extLst>
                    <c:strCache>
                      <c:ptCount val="2"/>
                      <c:pt idx="0">
                        <c:v>LS6 Δi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Mechanism'!$H$137:$H$143</c15:sqref>
                        </c15:formulaRef>
                      </c:ext>
                    </c:extLst>
                    <c:numCache>
                      <c:formatCode>0.0000</c:formatCode>
                      <c:ptCount val="7"/>
                      <c:pt idx="0">
                        <c:v>7.7057249062742542E-3</c:v>
                      </c:pt>
                      <c:pt idx="1">
                        <c:v>6.9738278327811307E-3</c:v>
                      </c:pt>
                      <c:pt idx="2">
                        <c:v>5.8262665026215183E-3</c:v>
                      </c:pt>
                      <c:pt idx="3">
                        <c:v>4.4646886891323454E-3</c:v>
                      </c:pt>
                      <c:pt idx="4">
                        <c:v>2.9317284859503578E-3</c:v>
                      </c:pt>
                      <c:pt idx="5">
                        <c:v>1.4384480649048148E-3</c:v>
                      </c:pt>
                      <c:pt idx="6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'Post-yield Mechanism'!$B$137:$B$143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DF1-4FDD-9269-95CE543EFDB1}"/>
                  </c:ext>
                </c:extLst>
              </c15:ser>
            </c15:filteredScatterSeries>
          </c:ext>
        </c:extLst>
      </c:scatterChart>
      <c:valAx>
        <c:axId val="546827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35184"/>
        <c:crosses val="autoZero"/>
        <c:crossBetween val="midCat"/>
      </c:valAx>
      <c:valAx>
        <c:axId val="6234351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2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Shapes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30260272003602"/>
          <c:y val="9.4647518401836675E-2"/>
          <c:w val="0.73516706434693924"/>
          <c:h val="0.79204261843874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'Post-yield Mechanism'!$C$135:$C$136</c:f>
              <c:strCache>
                <c:ptCount val="2"/>
                <c:pt idx="0">
                  <c:v>LS1 Δi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Mechanism'!$D$188:$D$194</c:f>
              <c:numCache>
                <c:formatCode>0.000</c:formatCode>
                <c:ptCount val="7"/>
                <c:pt idx="0">
                  <c:v>1</c:v>
                </c:pt>
                <c:pt idx="1">
                  <c:v>0.90501904981098025</c:v>
                </c:pt>
                <c:pt idx="2">
                  <c:v>0.75609583439418926</c:v>
                </c:pt>
                <c:pt idx="3">
                  <c:v>0.57939892008045202</c:v>
                </c:pt>
                <c:pt idx="4">
                  <c:v>0.38046108855550348</c:v>
                </c:pt>
                <c:pt idx="5">
                  <c:v>0.18667264694767174</c:v>
                </c:pt>
                <c:pt idx="6">
                  <c:v>0</c:v>
                </c:pt>
              </c:numCache>
            </c:numRef>
          </c:xVal>
          <c:yVal>
            <c:numRef>
              <c:f>'Post-yield Mechanism'!$B$137:$B$143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B-4762-879E-6D965EBAE649}"/>
            </c:ext>
          </c:extLst>
        </c:ser>
        <c:ser>
          <c:idx val="1"/>
          <c:order val="1"/>
          <c:tx>
            <c:strRef>
              <c:f>'Post-yield Mechanism'!$E$186</c:f>
              <c:strCache>
                <c:ptCount val="1"/>
                <c:pt idx="0">
                  <c:v>-217.76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'Post-yield Mechanism'!$E$188:$E$194</c:f>
              <c:numCache>
                <c:formatCode>0.000</c:formatCode>
                <c:ptCount val="7"/>
                <c:pt idx="0">
                  <c:v>1</c:v>
                </c:pt>
                <c:pt idx="1">
                  <c:v>0.91044013790529332</c:v>
                </c:pt>
                <c:pt idx="2">
                  <c:v>0.76622891885786137</c:v>
                </c:pt>
                <c:pt idx="3">
                  <c:v>0.58067066762270536</c:v>
                </c:pt>
                <c:pt idx="4">
                  <c:v>0.37983626202005721</c:v>
                </c:pt>
                <c:pt idx="5">
                  <c:v>0.16168904517282362</c:v>
                </c:pt>
                <c:pt idx="6">
                  <c:v>0</c:v>
                </c:pt>
              </c:numCache>
            </c:numRef>
          </c:xVal>
          <c:yVal>
            <c:numRef>
              <c:f>'Post-yield Mechanism'!$C$188:$C$194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7B-4762-879E-6D965EBAE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977199"/>
        <c:axId val="107818447"/>
      </c:scatterChart>
      <c:valAx>
        <c:axId val="210397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18447"/>
        <c:crosses val="autoZero"/>
        <c:crossBetween val="midCat"/>
      </c:valAx>
      <c:valAx>
        <c:axId val="10781844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Storey</a:t>
                </a:r>
                <a:r>
                  <a:rPr lang="en-GB" baseline="0"/>
                  <a:t> No.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77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2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10.emf"/><Relationship Id="rId1" Type="http://schemas.openxmlformats.org/officeDocument/2006/relationships/image" Target="../media/image11.emf"/><Relationship Id="rId5" Type="http://schemas.openxmlformats.org/officeDocument/2006/relationships/image" Target="../media/image7.emf"/><Relationship Id="rId4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1</xdr:row>
      <xdr:rowOff>83492</xdr:rowOff>
    </xdr:from>
    <xdr:to>
      <xdr:col>8</xdr:col>
      <xdr:colOff>71438</xdr:colOff>
      <xdr:row>26</xdr:row>
      <xdr:rowOff>53229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61F0A4-3314-4C91-9EF4-2A6CAE1AF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11995" y="285898"/>
          <a:ext cx="4229099" cy="5357666"/>
        </a:xfrm>
        <a:prstGeom prst="rect">
          <a:avLst/>
        </a:prstGeom>
      </xdr:spPr>
    </xdr:pic>
    <xdr:clientData/>
  </xdr:twoCellAnchor>
  <xdr:twoCellAnchor editAs="oneCell">
    <xdr:from>
      <xdr:col>1</xdr:col>
      <xdr:colOff>152399</xdr:colOff>
      <xdr:row>1</xdr:row>
      <xdr:rowOff>47625</xdr:rowOff>
    </xdr:from>
    <xdr:to>
      <xdr:col>4</xdr:col>
      <xdr:colOff>343543</xdr:colOff>
      <xdr:row>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D7CE7F-BD4E-4456-950A-167AC230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61999" y="247650"/>
          <a:ext cx="2019944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128588</xdr:colOff>
      <xdr:row>24</xdr:row>
      <xdr:rowOff>61913</xdr:rowOff>
    </xdr:from>
    <xdr:to>
      <xdr:col>16</xdr:col>
      <xdr:colOff>260957</xdr:colOff>
      <xdr:row>27</xdr:row>
      <xdr:rowOff>171954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73C5D83-5CA4-4281-BD50-E44561035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41494" y="5169694"/>
          <a:ext cx="1369219" cy="71585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23</xdr:row>
      <xdr:rowOff>28575</xdr:rowOff>
    </xdr:from>
    <xdr:to>
      <xdr:col>13</xdr:col>
      <xdr:colOff>327069</xdr:colOff>
      <xdr:row>28</xdr:row>
      <xdr:rowOff>109257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FDCBD9-EDA5-4C91-99DD-C1950E0E1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114925" y="4552950"/>
          <a:ext cx="2909605" cy="1085850"/>
        </a:xfrm>
        <a:prstGeom prst="rect">
          <a:avLst/>
        </a:prstGeom>
      </xdr:spPr>
    </xdr:pic>
    <xdr:clientData/>
  </xdr:twoCellAnchor>
  <xdr:twoCellAnchor>
    <xdr:from>
      <xdr:col>8</xdr:col>
      <xdr:colOff>190499</xdr:colOff>
      <xdr:row>27</xdr:row>
      <xdr:rowOff>166686</xdr:rowOff>
    </xdr:from>
    <xdr:to>
      <xdr:col>15</xdr:col>
      <xdr:colOff>357186</xdr:colOff>
      <xdr:row>31</xdr:row>
      <xdr:rowOff>83343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199B4C5-2569-4C74-9064-2C2BF25BCFA3}"/>
            </a:ext>
          </a:extLst>
        </xdr:cNvPr>
        <xdr:cNvSpPr txBox="1"/>
      </xdr:nvSpPr>
      <xdr:spPr>
        <a:xfrm>
          <a:off x="5060155" y="5857874"/>
          <a:ext cx="4155281" cy="71437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400">
              <a:latin typeface="Times New Roman" panose="02020603050405020304" pitchFamily="18" charset="0"/>
              <a:cs typeface="Times New Roman" panose="02020603050405020304" pitchFamily="18" charset="0"/>
            </a:rPr>
            <a:t>Reinforcing steel and contrete strengths are 372 MPa and 19.6 MPa</a:t>
          </a:r>
          <a:r>
            <a:rPr lang="en-GB" sz="1400" baseline="0">
              <a:latin typeface="Times New Roman" panose="02020603050405020304" pitchFamily="18" charset="0"/>
              <a:cs typeface="Times New Roman" panose="02020603050405020304" pitchFamily="18" charset="0"/>
            </a:rPr>
            <a:t>, respectively.</a:t>
          </a:r>
          <a:endParaRPr lang="en-GB" sz="14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59533</xdr:colOff>
      <xdr:row>46</xdr:row>
      <xdr:rowOff>23810</xdr:rowOff>
    </xdr:from>
    <xdr:to>
      <xdr:col>29</xdr:col>
      <xdr:colOff>595314</xdr:colOff>
      <xdr:row>70</xdr:row>
      <xdr:rowOff>107153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B8E710-B2D6-49A2-B975-48B71D3EC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7033" y="9060654"/>
          <a:ext cx="8191500" cy="49410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35716</xdr:colOff>
      <xdr:row>29</xdr:row>
      <xdr:rowOff>23810</xdr:rowOff>
    </xdr:from>
    <xdr:to>
      <xdr:col>17</xdr:col>
      <xdr:colOff>797718</xdr:colOff>
      <xdr:row>55</xdr:row>
      <xdr:rowOff>118578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C0B3CF-9B07-44BE-A157-5E52A92C2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5" y="5834060"/>
          <a:ext cx="11965783" cy="51906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17859</xdr:colOff>
      <xdr:row>41</xdr:row>
      <xdr:rowOff>205976</xdr:rowOff>
    </xdr:from>
    <xdr:to>
      <xdr:col>24</xdr:col>
      <xdr:colOff>11906</xdr:colOff>
      <xdr:row>67</xdr:row>
      <xdr:rowOff>202406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B8D18-A24D-4833-B1DB-F88B65DB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345282</xdr:colOff>
      <xdr:row>22</xdr:row>
      <xdr:rowOff>185735</xdr:rowOff>
    </xdr:from>
    <xdr:to>
      <xdr:col>15</xdr:col>
      <xdr:colOff>692944</xdr:colOff>
      <xdr:row>49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124C32-C20F-4069-A71F-89ACC0A2E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130967</xdr:colOff>
      <xdr:row>26</xdr:row>
      <xdr:rowOff>119063</xdr:rowOff>
    </xdr:from>
    <xdr:to>
      <xdr:col>8</xdr:col>
      <xdr:colOff>309562</xdr:colOff>
      <xdr:row>49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16393-74A8-43E9-B06C-01866AF861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600075</xdr:colOff>
          <xdr:row>65</xdr:row>
          <xdr:rowOff>152399</xdr:rowOff>
        </xdr:from>
        <xdr:to>
          <xdr:col>22</xdr:col>
          <xdr:colOff>607218</xdr:colOff>
          <xdr:row>69</xdr:row>
          <xdr:rowOff>23811</xdr:rowOff>
        </xdr:to>
        <xdr:sp macro="" textlink="">
          <xdr:nvSpPr>
            <xdr:cNvPr id="5121" name="CommandButton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894E36D-3C0D-4FAB-BCB8-64437C5A1F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666750</xdr:colOff>
          <xdr:row>65</xdr:row>
          <xdr:rowOff>152402</xdr:rowOff>
        </xdr:from>
        <xdr:to>
          <xdr:col>25</xdr:col>
          <xdr:colOff>35718</xdr:colOff>
          <xdr:row>69</xdr:row>
          <xdr:rowOff>11906</xdr:rowOff>
        </xdr:to>
        <xdr:sp macro="" textlink="">
          <xdr:nvSpPr>
            <xdr:cNvPr id="5122" name="CommandButton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A914B35B-38BC-4ED1-9C81-BDD1FACF073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321468</xdr:colOff>
          <xdr:row>65</xdr:row>
          <xdr:rowOff>157163</xdr:rowOff>
        </xdr:from>
        <xdr:to>
          <xdr:col>26</xdr:col>
          <xdr:colOff>821531</xdr:colOff>
          <xdr:row>69</xdr:row>
          <xdr:rowOff>11906</xdr:rowOff>
        </xdr:to>
        <xdr:sp macro="" textlink="">
          <xdr:nvSpPr>
            <xdr:cNvPr id="5123" name="CommandButton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403899BD-75B5-476F-92B8-ED0C05F7E1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600074</xdr:colOff>
          <xdr:row>69</xdr:row>
          <xdr:rowOff>69057</xdr:rowOff>
        </xdr:from>
        <xdr:to>
          <xdr:col>22</xdr:col>
          <xdr:colOff>607219</xdr:colOff>
          <xdr:row>72</xdr:row>
          <xdr:rowOff>95251</xdr:rowOff>
        </xdr:to>
        <xdr:sp macro="" textlink="">
          <xdr:nvSpPr>
            <xdr:cNvPr id="5124" name="CommandButton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EACC2478-DB34-46CA-B503-07716EEF7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583406</xdr:colOff>
          <xdr:row>73</xdr:row>
          <xdr:rowOff>111918</xdr:rowOff>
        </xdr:from>
        <xdr:to>
          <xdr:col>22</xdr:col>
          <xdr:colOff>595312</xdr:colOff>
          <xdr:row>76</xdr:row>
          <xdr:rowOff>178593</xdr:rowOff>
        </xdr:to>
        <xdr:sp macro="" textlink="">
          <xdr:nvSpPr>
            <xdr:cNvPr id="5125" name="CommandButton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25D2B8B4-4DC1-44F5-B94F-3D6C1D9008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10923</xdr:colOff>
      <xdr:row>59</xdr:row>
      <xdr:rowOff>-1</xdr:rowOff>
    </xdr:from>
    <xdr:to>
      <xdr:col>7</xdr:col>
      <xdr:colOff>869156</xdr:colOff>
      <xdr:row>79</xdr:row>
      <xdr:rowOff>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8F7C-20DD-4E4E-96C5-B8872ACF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1400</xdr:colOff>
      <xdr:row>82</xdr:row>
      <xdr:rowOff>20310</xdr:rowOff>
    </xdr:from>
    <xdr:to>
      <xdr:col>7</xdr:col>
      <xdr:colOff>885265</xdr:colOff>
      <xdr:row>119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35045E-E301-4D11-9571-E924239FA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20308</xdr:colOff>
      <xdr:row>144</xdr:row>
      <xdr:rowOff>180694</xdr:rowOff>
    </xdr:from>
    <xdr:to>
      <xdr:col>7</xdr:col>
      <xdr:colOff>881062</xdr:colOff>
      <xdr:row>182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49D4C1D-3B27-4DC1-9D5F-73C9700F4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226219</xdr:colOff>
      <xdr:row>194</xdr:row>
      <xdr:rowOff>178593</xdr:rowOff>
    </xdr:from>
    <xdr:to>
      <xdr:col>8</xdr:col>
      <xdr:colOff>323541</xdr:colOff>
      <xdr:row>213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FEB100E-F4ED-443B-81D4-A9E8E5C56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219" y="37409437"/>
          <a:ext cx="6621947" cy="371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11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11" Type="http://schemas.openxmlformats.org/officeDocument/2006/relationships/image" Target="../media/image10.emf"/><Relationship Id="rId5" Type="http://schemas.openxmlformats.org/officeDocument/2006/relationships/image" Target="../media/image7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9.emf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AL35"/>
  <sheetViews>
    <sheetView zoomScale="85" zoomScaleNormal="85" workbookViewId="0">
      <selection activeCell="I37" sqref="I37"/>
    </sheetView>
  </sheetViews>
  <sheetFormatPr defaultRowHeight="15.75" x14ac:dyDescent="0.25"/>
  <cols>
    <col min="1" max="1" width="9.140625" style="6"/>
    <col min="2" max="2" width="8.140625" style="6" customWidth="1"/>
    <col min="3" max="3" width="9.140625" style="6" customWidth="1"/>
    <col min="4" max="4" width="10.140625" style="6" customWidth="1"/>
    <col min="5" max="5" width="9.140625" style="6" customWidth="1"/>
    <col min="6" max="9" width="9.140625" style="6"/>
    <col min="10" max="10" width="5.85546875" style="6" bestFit="1" customWidth="1"/>
    <col min="11" max="11" width="12.7109375" style="6" customWidth="1"/>
    <col min="12" max="12" width="5.85546875" style="6" bestFit="1" customWidth="1"/>
    <col min="13" max="13" width="8.7109375" style="6" customWidth="1"/>
    <col min="14" max="14" width="5.85546875" style="6" bestFit="1" customWidth="1"/>
    <col min="15" max="15" width="12.7109375" style="6" customWidth="1"/>
    <col min="16" max="16" width="5.85546875" style="6" bestFit="1" customWidth="1"/>
    <col min="17" max="17" width="8.7109375" style="6" customWidth="1"/>
    <col min="18" max="18" width="5" style="6" bestFit="1" customWidth="1"/>
    <col min="19" max="19" width="8" style="6" customWidth="1"/>
    <col min="20" max="20" width="9.5703125" style="6" customWidth="1"/>
    <col min="21" max="21" width="11.28515625" style="6" customWidth="1"/>
    <col min="22" max="25" width="10.5703125" style="6" bestFit="1" customWidth="1"/>
    <col min="26" max="26" width="10.42578125" style="6" bestFit="1" customWidth="1"/>
    <col min="27" max="27" width="13.28515625" style="6" bestFit="1" customWidth="1"/>
    <col min="28" max="28" width="10.7109375" style="6" bestFit="1" customWidth="1"/>
    <col min="29" max="29" width="8.7109375" style="6" bestFit="1" customWidth="1"/>
    <col min="30" max="30" width="10.28515625" style="6" bestFit="1" customWidth="1"/>
    <col min="31" max="31" width="7.7109375" style="6" bestFit="1" customWidth="1"/>
    <col min="32" max="32" width="11.85546875" style="6" bestFit="1" customWidth="1"/>
    <col min="33" max="33" width="10.5703125" style="6" bestFit="1" customWidth="1"/>
    <col min="34" max="34" width="10" style="6" bestFit="1" customWidth="1"/>
    <col min="35" max="35" width="10.28515625" style="6" bestFit="1" customWidth="1"/>
    <col min="36" max="36" width="6.28515625" style="6" customWidth="1"/>
    <col min="37" max="37" width="12.42578125" style="6" bestFit="1" customWidth="1"/>
    <col min="38" max="38" width="9.28515625" style="6" bestFit="1" customWidth="1"/>
    <col min="39" max="16384" width="9.140625" style="6"/>
  </cols>
  <sheetData>
    <row r="1" spans="2:38" ht="16.5" thickBot="1" x14ac:dyDescent="0.3"/>
    <row r="2" spans="2:38" ht="15" customHeight="1" x14ac:dyDescent="0.25">
      <c r="B2" s="246"/>
      <c r="C2" s="247"/>
      <c r="D2" s="247"/>
      <c r="E2" s="247"/>
      <c r="F2" s="247"/>
      <c r="G2" s="247"/>
      <c r="H2" s="247"/>
      <c r="I2" s="247"/>
      <c r="J2" s="581" t="s">
        <v>4</v>
      </c>
      <c r="K2" s="581"/>
      <c r="L2" s="581"/>
      <c r="M2" s="581"/>
      <c r="N2" s="581"/>
      <c r="O2" s="581"/>
      <c r="P2" s="581"/>
      <c r="Q2" s="248"/>
      <c r="S2" s="604" t="s">
        <v>31</v>
      </c>
      <c r="T2" s="605"/>
      <c r="U2" s="605"/>
      <c r="V2" s="605"/>
      <c r="W2" s="605"/>
      <c r="X2" s="605"/>
      <c r="Y2" s="605"/>
      <c r="Z2" s="605"/>
      <c r="AA2" s="605"/>
      <c r="AB2" s="605"/>
      <c r="AC2" s="606"/>
    </row>
    <row r="3" spans="2:38" ht="15" customHeight="1" thickBot="1" x14ac:dyDescent="0.3">
      <c r="B3" s="7"/>
      <c r="C3" s="40"/>
      <c r="D3" s="40"/>
      <c r="E3" s="40"/>
      <c r="F3" s="40"/>
      <c r="G3" s="40"/>
      <c r="H3" s="40"/>
      <c r="I3" s="40"/>
      <c r="J3" s="582"/>
      <c r="K3" s="582"/>
      <c r="L3" s="582"/>
      <c r="M3" s="582"/>
      <c r="N3" s="582"/>
      <c r="O3" s="582"/>
      <c r="P3" s="582"/>
      <c r="Q3" s="8"/>
      <c r="S3" s="607"/>
      <c r="T3" s="608"/>
      <c r="U3" s="608"/>
      <c r="V3" s="608"/>
      <c r="W3" s="608"/>
      <c r="X3" s="608"/>
      <c r="Y3" s="608"/>
      <c r="Z3" s="608"/>
      <c r="AA3" s="608"/>
      <c r="AB3" s="608"/>
      <c r="AC3" s="609"/>
    </row>
    <row r="4" spans="2:38" ht="16.5" thickBot="1" x14ac:dyDescent="0.3">
      <c r="B4" s="7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8"/>
      <c r="S4" s="634" t="s">
        <v>0</v>
      </c>
      <c r="T4" s="587" t="s">
        <v>2</v>
      </c>
      <c r="U4" s="587" t="s">
        <v>3</v>
      </c>
      <c r="V4" s="633" t="s">
        <v>10</v>
      </c>
      <c r="W4" s="633"/>
      <c r="X4" s="633"/>
      <c r="Y4" s="633"/>
      <c r="Z4" s="633"/>
      <c r="AA4" s="610"/>
      <c r="AB4" s="587" t="s">
        <v>24</v>
      </c>
      <c r="AC4" s="631" t="s">
        <v>25</v>
      </c>
    </row>
    <row r="5" spans="2:38" ht="16.5" thickBot="1" x14ac:dyDescent="0.3">
      <c r="B5" s="7"/>
      <c r="C5" s="40"/>
      <c r="D5" s="40"/>
      <c r="E5" s="40"/>
      <c r="F5" s="40"/>
      <c r="G5" s="40"/>
      <c r="H5" s="40"/>
      <c r="I5" s="40"/>
      <c r="J5" s="419">
        <v>1116</v>
      </c>
      <c r="K5" s="420">
        <v>5116</v>
      </c>
      <c r="L5" s="419">
        <v>1216</v>
      </c>
      <c r="M5" s="420">
        <v>5216</v>
      </c>
      <c r="N5" s="419">
        <v>1316</v>
      </c>
      <c r="O5" s="420">
        <v>5316</v>
      </c>
      <c r="P5" s="419">
        <v>1416</v>
      </c>
      <c r="Q5" s="8"/>
      <c r="S5" s="635"/>
      <c r="T5" s="588"/>
      <c r="U5" s="588"/>
      <c r="V5" s="68" t="s">
        <v>5</v>
      </c>
      <c r="W5" s="68" t="s">
        <v>6</v>
      </c>
      <c r="X5" s="68" t="s">
        <v>7</v>
      </c>
      <c r="Y5" s="68" t="s">
        <v>8</v>
      </c>
      <c r="Z5" s="68" t="s">
        <v>9</v>
      </c>
      <c r="AA5" s="611"/>
      <c r="AB5" s="588"/>
      <c r="AC5" s="632"/>
    </row>
    <row r="6" spans="2:38" ht="18" customHeight="1" x14ac:dyDescent="0.25">
      <c r="B6" s="7"/>
      <c r="C6" s="40"/>
      <c r="D6" s="40"/>
      <c r="E6" s="40"/>
      <c r="F6" s="40"/>
      <c r="G6" s="40"/>
      <c r="H6" s="40"/>
      <c r="I6" s="40"/>
      <c r="J6" s="585">
        <v>7116</v>
      </c>
      <c r="K6" s="583"/>
      <c r="L6" s="585">
        <v>7216</v>
      </c>
      <c r="M6" s="583"/>
      <c r="N6" s="585">
        <v>7316</v>
      </c>
      <c r="O6" s="583"/>
      <c r="P6" s="585">
        <v>7416</v>
      </c>
      <c r="Q6" s="8"/>
      <c r="S6" s="314">
        <v>6</v>
      </c>
      <c r="T6" s="70">
        <v>17.75</v>
      </c>
      <c r="U6" s="70">
        <f t="shared" ref="U6:U11" si="0">T6-T7</f>
        <v>3</v>
      </c>
      <c r="V6" s="70">
        <v>6.3072999999999997</v>
      </c>
      <c r="W6" s="70">
        <v>12.615</v>
      </c>
      <c r="X6" s="70">
        <v>12.615</v>
      </c>
      <c r="Y6" s="70">
        <v>6.3072999999999997</v>
      </c>
      <c r="Z6" s="70">
        <f>Y6+X6+W6+V6</f>
        <v>37.8446</v>
      </c>
      <c r="AA6" s="611"/>
      <c r="AB6" s="68">
        <v>3</v>
      </c>
      <c r="AC6" s="421">
        <v>4.5</v>
      </c>
    </row>
    <row r="7" spans="2:38" ht="18" customHeight="1" thickBot="1" x14ac:dyDescent="0.3">
      <c r="B7" s="7"/>
      <c r="C7" s="40"/>
      <c r="D7" s="40"/>
      <c r="E7" s="40"/>
      <c r="F7" s="40"/>
      <c r="G7" s="40"/>
      <c r="H7" s="40"/>
      <c r="I7" s="40"/>
      <c r="J7" s="586"/>
      <c r="K7" s="584"/>
      <c r="L7" s="586"/>
      <c r="M7" s="584"/>
      <c r="N7" s="586"/>
      <c r="O7" s="584"/>
      <c r="P7" s="586"/>
      <c r="Q7" s="8"/>
      <c r="S7" s="314">
        <v>5</v>
      </c>
      <c r="T7" s="70">
        <v>14.75</v>
      </c>
      <c r="U7" s="70">
        <f t="shared" si="0"/>
        <v>3</v>
      </c>
      <c r="V7" s="70">
        <v>6.7278000000000002</v>
      </c>
      <c r="W7" s="70">
        <v>13.4557</v>
      </c>
      <c r="X7" s="70">
        <v>13.4557</v>
      </c>
      <c r="Y7" s="70">
        <v>6.7278000000000002</v>
      </c>
      <c r="Z7" s="70">
        <f t="shared" ref="Z7:Z12" si="1">Y7+X7+W7+V7</f>
        <v>40.367000000000004</v>
      </c>
      <c r="AA7" s="611"/>
      <c r="AB7" s="68">
        <v>2</v>
      </c>
      <c r="AC7" s="421">
        <v>2</v>
      </c>
    </row>
    <row r="8" spans="2:38" ht="16.5" thickBot="1" x14ac:dyDescent="0.3">
      <c r="B8" s="7"/>
      <c r="C8" s="40"/>
      <c r="D8" s="40"/>
      <c r="E8" s="40"/>
      <c r="F8" s="40"/>
      <c r="G8" s="40"/>
      <c r="H8" s="40"/>
      <c r="I8" s="40"/>
      <c r="J8" s="419">
        <v>1115</v>
      </c>
      <c r="K8" s="420">
        <v>5115</v>
      </c>
      <c r="L8" s="419">
        <v>1215</v>
      </c>
      <c r="M8" s="420">
        <v>5215</v>
      </c>
      <c r="N8" s="419">
        <v>1315</v>
      </c>
      <c r="O8" s="420">
        <v>5315</v>
      </c>
      <c r="P8" s="419">
        <v>1415</v>
      </c>
      <c r="Q8" s="8"/>
      <c r="S8" s="314">
        <v>4</v>
      </c>
      <c r="T8" s="70">
        <v>11.75</v>
      </c>
      <c r="U8" s="70">
        <f t="shared" si="0"/>
        <v>3</v>
      </c>
      <c r="V8" s="70">
        <v>6.7278000000000002</v>
      </c>
      <c r="W8" s="70">
        <v>13.4557</v>
      </c>
      <c r="X8" s="70">
        <v>13.4557</v>
      </c>
      <c r="Y8" s="70">
        <v>6.7278000000000002</v>
      </c>
      <c r="Z8" s="70">
        <f t="shared" si="1"/>
        <v>40.367000000000004</v>
      </c>
      <c r="AA8" s="611"/>
      <c r="AB8" s="68">
        <v>1</v>
      </c>
      <c r="AC8" s="421">
        <v>4.5</v>
      </c>
    </row>
    <row r="9" spans="2:38" ht="18" customHeight="1" x14ac:dyDescent="0.25">
      <c r="B9" s="7"/>
      <c r="C9" s="40"/>
      <c r="D9" s="40"/>
      <c r="E9" s="40"/>
      <c r="F9" s="40"/>
      <c r="G9" s="40"/>
      <c r="H9" s="40"/>
      <c r="I9" s="40"/>
      <c r="J9" s="585">
        <v>7115</v>
      </c>
      <c r="K9" s="583"/>
      <c r="L9" s="585">
        <v>7215</v>
      </c>
      <c r="M9" s="583"/>
      <c r="N9" s="585">
        <v>7315</v>
      </c>
      <c r="O9" s="583"/>
      <c r="P9" s="585">
        <v>7415</v>
      </c>
      <c r="Q9" s="8"/>
      <c r="S9" s="314">
        <v>3</v>
      </c>
      <c r="T9" s="70">
        <v>8.75</v>
      </c>
      <c r="U9" s="70">
        <f t="shared" si="0"/>
        <v>3</v>
      </c>
      <c r="V9" s="70">
        <v>6.7278000000000002</v>
      </c>
      <c r="W9" s="70">
        <v>13.4557</v>
      </c>
      <c r="X9" s="70">
        <v>13.4557</v>
      </c>
      <c r="Y9" s="70">
        <v>6.7278000000000002</v>
      </c>
      <c r="Z9" s="70">
        <f t="shared" si="1"/>
        <v>40.367000000000004</v>
      </c>
      <c r="AA9" s="611"/>
      <c r="AB9" s="613"/>
      <c r="AC9" s="614"/>
    </row>
    <row r="10" spans="2:38" ht="18" customHeight="1" thickBot="1" x14ac:dyDescent="0.3">
      <c r="B10" s="7"/>
      <c r="C10" s="40"/>
      <c r="D10" s="40"/>
      <c r="E10" s="40"/>
      <c r="F10" s="40"/>
      <c r="G10" s="40"/>
      <c r="H10" s="40"/>
      <c r="I10" s="40"/>
      <c r="J10" s="586"/>
      <c r="K10" s="584"/>
      <c r="L10" s="586"/>
      <c r="M10" s="584"/>
      <c r="N10" s="586"/>
      <c r="O10" s="584"/>
      <c r="P10" s="586"/>
      <c r="Q10" s="8"/>
      <c r="S10" s="314">
        <v>2</v>
      </c>
      <c r="T10" s="70">
        <v>5.75</v>
      </c>
      <c r="U10" s="70">
        <f t="shared" si="0"/>
        <v>3</v>
      </c>
      <c r="V10" s="70">
        <v>6.7278000000000002</v>
      </c>
      <c r="W10" s="70">
        <v>13.4557</v>
      </c>
      <c r="X10" s="70">
        <v>13.4557</v>
      </c>
      <c r="Y10" s="70">
        <v>6.7278000000000002</v>
      </c>
      <c r="Z10" s="70">
        <f t="shared" si="1"/>
        <v>40.367000000000004</v>
      </c>
      <c r="AA10" s="611"/>
      <c r="AB10" s="615"/>
      <c r="AC10" s="616"/>
    </row>
    <row r="11" spans="2:38" ht="16.5" thickBot="1" x14ac:dyDescent="0.3">
      <c r="B11" s="7"/>
      <c r="C11" s="40"/>
      <c r="D11" s="40"/>
      <c r="E11" s="40"/>
      <c r="F11" s="40"/>
      <c r="G11" s="40"/>
      <c r="H11" s="40"/>
      <c r="I11" s="40"/>
      <c r="J11" s="419">
        <v>1114</v>
      </c>
      <c r="K11" s="420">
        <v>5114</v>
      </c>
      <c r="L11" s="419">
        <v>1214</v>
      </c>
      <c r="M11" s="420">
        <v>5214</v>
      </c>
      <c r="N11" s="419">
        <v>1314</v>
      </c>
      <c r="O11" s="420">
        <v>5314</v>
      </c>
      <c r="P11" s="419">
        <v>1414</v>
      </c>
      <c r="Q11" s="8"/>
      <c r="S11" s="314">
        <v>1</v>
      </c>
      <c r="T11" s="70">
        <v>2.75</v>
      </c>
      <c r="U11" s="70">
        <f t="shared" si="0"/>
        <v>2.75</v>
      </c>
      <c r="V11" s="70">
        <v>6.7278000000000002</v>
      </c>
      <c r="W11" s="70">
        <v>13.4557</v>
      </c>
      <c r="X11" s="70">
        <v>13.4557</v>
      </c>
      <c r="Y11" s="70">
        <v>6.7278000000000002</v>
      </c>
      <c r="Z11" s="70">
        <f t="shared" si="1"/>
        <v>40.367000000000004</v>
      </c>
      <c r="AA11" s="611"/>
      <c r="AB11" s="615"/>
      <c r="AC11" s="616"/>
    </row>
    <row r="12" spans="2:38" ht="18" customHeight="1" thickBot="1" x14ac:dyDescent="0.3">
      <c r="B12" s="7"/>
      <c r="C12" s="40"/>
      <c r="D12" s="40"/>
      <c r="E12" s="40"/>
      <c r="F12" s="40"/>
      <c r="G12" s="40"/>
      <c r="H12" s="40"/>
      <c r="I12" s="40"/>
      <c r="J12" s="585">
        <v>7114</v>
      </c>
      <c r="K12" s="583"/>
      <c r="L12" s="585">
        <v>7214</v>
      </c>
      <c r="M12" s="583"/>
      <c r="N12" s="585">
        <v>7314</v>
      </c>
      <c r="O12" s="583"/>
      <c r="P12" s="585">
        <v>7414</v>
      </c>
      <c r="Q12" s="8"/>
      <c r="S12" s="422" t="s">
        <v>1</v>
      </c>
      <c r="T12" s="150">
        <v>0</v>
      </c>
      <c r="U12" s="150">
        <f>T12-0</f>
        <v>0</v>
      </c>
      <c r="V12" s="150">
        <v>0</v>
      </c>
      <c r="W12" s="150">
        <v>0</v>
      </c>
      <c r="X12" s="150">
        <v>0</v>
      </c>
      <c r="Y12" s="150">
        <v>0</v>
      </c>
      <c r="Z12" s="150">
        <f t="shared" si="1"/>
        <v>0</v>
      </c>
      <c r="AA12" s="612"/>
      <c r="AB12" s="617"/>
      <c r="AC12" s="618"/>
    </row>
    <row r="13" spans="2:38" ht="18" customHeight="1" thickBot="1" x14ac:dyDescent="0.3">
      <c r="B13" s="7"/>
      <c r="C13" s="40"/>
      <c r="D13" s="40"/>
      <c r="E13" s="40"/>
      <c r="F13" s="40"/>
      <c r="G13" s="40"/>
      <c r="H13" s="40"/>
      <c r="I13" s="40"/>
      <c r="J13" s="586"/>
      <c r="K13" s="584"/>
      <c r="L13" s="586"/>
      <c r="M13" s="584"/>
      <c r="N13" s="586"/>
      <c r="O13" s="584"/>
      <c r="P13" s="586"/>
      <c r="Q13" s="8"/>
    </row>
    <row r="14" spans="2:38" ht="15.75" customHeight="1" thickBot="1" x14ac:dyDescent="0.3">
      <c r="B14" s="7"/>
      <c r="C14" s="40"/>
      <c r="D14" s="40"/>
      <c r="E14" s="40"/>
      <c r="F14" s="40"/>
      <c r="G14" s="40"/>
      <c r="H14" s="40"/>
      <c r="I14" s="40"/>
      <c r="J14" s="419">
        <v>1113</v>
      </c>
      <c r="K14" s="420">
        <v>5113</v>
      </c>
      <c r="L14" s="419">
        <v>1213</v>
      </c>
      <c r="M14" s="420">
        <v>5213</v>
      </c>
      <c r="N14" s="419">
        <v>1313</v>
      </c>
      <c r="O14" s="420">
        <v>5313</v>
      </c>
      <c r="P14" s="419">
        <v>1413</v>
      </c>
      <c r="Q14" s="8"/>
      <c r="S14" s="592" t="s">
        <v>11</v>
      </c>
      <c r="T14" s="592"/>
      <c r="U14" s="592"/>
      <c r="V14" s="592"/>
      <c r="W14" s="592"/>
      <c r="X14" s="592"/>
      <c r="Y14" s="592"/>
      <c r="Z14" s="592"/>
      <c r="AA14" s="592"/>
      <c r="AB14" s="592"/>
      <c r="AC14" s="592"/>
      <c r="AD14" s="592"/>
      <c r="AE14" s="592"/>
      <c r="AG14" s="598" t="s">
        <v>220</v>
      </c>
      <c r="AH14" s="599"/>
      <c r="AI14" s="599"/>
      <c r="AJ14" s="599"/>
      <c r="AK14" s="599"/>
      <c r="AL14" s="600"/>
    </row>
    <row r="15" spans="2:38" ht="18" customHeight="1" thickBot="1" x14ac:dyDescent="0.3">
      <c r="B15" s="7"/>
      <c r="C15" s="40"/>
      <c r="D15" s="40"/>
      <c r="E15" s="40"/>
      <c r="F15" s="40"/>
      <c r="G15" s="40"/>
      <c r="H15" s="40"/>
      <c r="I15" s="40"/>
      <c r="J15" s="585">
        <v>7113</v>
      </c>
      <c r="K15" s="583"/>
      <c r="L15" s="585">
        <v>7213</v>
      </c>
      <c r="M15" s="583"/>
      <c r="N15" s="585">
        <v>7313</v>
      </c>
      <c r="O15" s="583"/>
      <c r="P15" s="585">
        <v>7413</v>
      </c>
      <c r="Q15" s="8"/>
      <c r="S15" s="592"/>
      <c r="T15" s="592"/>
      <c r="U15" s="592"/>
      <c r="V15" s="592"/>
      <c r="W15" s="592"/>
      <c r="X15" s="592"/>
      <c r="Y15" s="592"/>
      <c r="Z15" s="592"/>
      <c r="AA15" s="592"/>
      <c r="AB15" s="592"/>
      <c r="AC15" s="592"/>
      <c r="AD15" s="592"/>
      <c r="AE15" s="592"/>
      <c r="AG15" s="601"/>
      <c r="AH15" s="602"/>
      <c r="AI15" s="602"/>
      <c r="AJ15" s="602"/>
      <c r="AK15" s="602"/>
      <c r="AL15" s="603"/>
    </row>
    <row r="16" spans="2:38" ht="18" customHeight="1" thickBot="1" x14ac:dyDescent="0.3">
      <c r="B16" s="7"/>
      <c r="C16" s="40"/>
      <c r="D16" s="40"/>
      <c r="E16" s="40"/>
      <c r="F16" s="40"/>
      <c r="G16" s="40"/>
      <c r="H16" s="40"/>
      <c r="I16" s="40"/>
      <c r="J16" s="586"/>
      <c r="K16" s="584"/>
      <c r="L16" s="586"/>
      <c r="M16" s="584"/>
      <c r="N16" s="586"/>
      <c r="O16" s="584"/>
      <c r="P16" s="586"/>
      <c r="Q16" s="8"/>
      <c r="S16" s="591" t="s">
        <v>12</v>
      </c>
      <c r="T16" s="591"/>
      <c r="U16" s="591"/>
      <c r="V16" s="591"/>
      <c r="W16" s="591"/>
      <c r="X16" s="591"/>
      <c r="Y16" s="591"/>
      <c r="Z16" s="591"/>
      <c r="AA16" s="591"/>
      <c r="AB16" s="591"/>
      <c r="AC16" s="591"/>
      <c r="AD16" s="591"/>
      <c r="AE16" s="591"/>
      <c r="AG16" s="625" t="s">
        <v>151</v>
      </c>
      <c r="AH16" s="626"/>
      <c r="AI16" s="626"/>
      <c r="AJ16" s="626"/>
      <c r="AK16" s="626"/>
      <c r="AL16" s="627"/>
    </row>
    <row r="17" spans="2:38" ht="16.5" thickBot="1" x14ac:dyDescent="0.3">
      <c r="B17" s="7"/>
      <c r="C17" s="40"/>
      <c r="D17" s="40"/>
      <c r="E17" s="40"/>
      <c r="F17" s="40"/>
      <c r="G17" s="40"/>
      <c r="H17" s="40"/>
      <c r="I17" s="40"/>
      <c r="J17" s="419">
        <v>1112</v>
      </c>
      <c r="K17" s="420">
        <v>5112</v>
      </c>
      <c r="L17" s="419">
        <v>1212</v>
      </c>
      <c r="M17" s="420">
        <v>5212</v>
      </c>
      <c r="N17" s="419">
        <v>1312</v>
      </c>
      <c r="O17" s="420">
        <v>5312</v>
      </c>
      <c r="P17" s="419">
        <v>1412</v>
      </c>
      <c r="Q17" s="8"/>
      <c r="S17" s="593" t="s">
        <v>22</v>
      </c>
      <c r="T17" s="594"/>
      <c r="U17" s="590" t="s">
        <v>16</v>
      </c>
      <c r="V17" s="590"/>
      <c r="W17" s="590"/>
      <c r="X17" s="590"/>
      <c r="Y17" s="590" t="s">
        <v>17</v>
      </c>
      <c r="Z17" s="590"/>
      <c r="AA17" s="590"/>
      <c r="AB17" s="590" t="s">
        <v>33</v>
      </c>
      <c r="AC17" s="590"/>
      <c r="AD17" s="590" t="s">
        <v>36</v>
      </c>
      <c r="AE17" s="590"/>
      <c r="AG17" s="314" t="s">
        <v>142</v>
      </c>
      <c r="AH17" s="70">
        <v>991</v>
      </c>
      <c r="AI17" s="68" t="s">
        <v>146</v>
      </c>
      <c r="AJ17" s="70">
        <v>0.55000000000000004</v>
      </c>
      <c r="AK17" s="68" t="s">
        <v>150</v>
      </c>
      <c r="AL17" s="421">
        <v>80</v>
      </c>
    </row>
    <row r="18" spans="2:38" ht="18" customHeight="1" x14ac:dyDescent="0.25">
      <c r="B18" s="7"/>
      <c r="C18" s="40"/>
      <c r="D18" s="40"/>
      <c r="E18" s="40"/>
      <c r="F18" s="40"/>
      <c r="G18" s="40"/>
      <c r="H18" s="40"/>
      <c r="I18" s="40"/>
      <c r="J18" s="585">
        <v>7112</v>
      </c>
      <c r="K18" s="583"/>
      <c r="L18" s="585">
        <v>7212</v>
      </c>
      <c r="M18" s="583"/>
      <c r="N18" s="585">
        <v>7312</v>
      </c>
      <c r="O18" s="583"/>
      <c r="P18" s="585">
        <v>7412</v>
      </c>
      <c r="Q18" s="8"/>
      <c r="S18" s="68" t="s">
        <v>396</v>
      </c>
      <c r="T18" s="69">
        <v>500</v>
      </c>
      <c r="U18" s="68" t="s">
        <v>20</v>
      </c>
      <c r="V18" s="68" t="s">
        <v>18</v>
      </c>
      <c r="W18" s="68" t="s">
        <v>23</v>
      </c>
      <c r="X18" s="68" t="s">
        <v>19</v>
      </c>
      <c r="Y18" s="68" t="s">
        <v>20</v>
      </c>
      <c r="Z18" s="68" t="s">
        <v>23</v>
      </c>
      <c r="AA18" s="68" t="s">
        <v>21</v>
      </c>
      <c r="AB18" s="68" t="s">
        <v>35</v>
      </c>
      <c r="AC18" s="69">
        <v>19.600000000000001</v>
      </c>
      <c r="AD18" s="68" t="s">
        <v>37</v>
      </c>
      <c r="AE18" s="69">
        <v>372</v>
      </c>
      <c r="AG18" s="314" t="s">
        <v>143</v>
      </c>
      <c r="AH18" s="70">
        <v>1873</v>
      </c>
      <c r="AI18" s="68" t="s">
        <v>147</v>
      </c>
      <c r="AJ18" s="70">
        <v>0.44</v>
      </c>
      <c r="AK18" s="68" t="s">
        <v>141</v>
      </c>
      <c r="AL18" s="324">
        <v>0</v>
      </c>
    </row>
    <row r="19" spans="2:38" ht="18" customHeight="1" thickBot="1" x14ac:dyDescent="0.3">
      <c r="B19" s="7"/>
      <c r="C19" s="40"/>
      <c r="D19" s="40"/>
      <c r="E19" s="40"/>
      <c r="F19" s="40"/>
      <c r="G19" s="40"/>
      <c r="H19" s="40"/>
      <c r="I19" s="40"/>
      <c r="J19" s="586"/>
      <c r="K19" s="584"/>
      <c r="L19" s="586"/>
      <c r="M19" s="584"/>
      <c r="N19" s="586"/>
      <c r="O19" s="584"/>
      <c r="P19" s="586"/>
      <c r="Q19" s="8"/>
      <c r="S19" s="68" t="s">
        <v>13</v>
      </c>
      <c r="T19" s="69">
        <v>350</v>
      </c>
      <c r="U19" s="68" t="s">
        <v>14</v>
      </c>
      <c r="V19" s="69">
        <v>4</v>
      </c>
      <c r="W19" s="69">
        <v>16</v>
      </c>
      <c r="X19" s="70">
        <f>V19*PI()*(W19*0.5)^2</f>
        <v>804.24771931898704</v>
      </c>
      <c r="Y19" s="68" t="s">
        <v>26</v>
      </c>
      <c r="Z19" s="69">
        <v>6</v>
      </c>
      <c r="AA19" s="69">
        <v>100</v>
      </c>
      <c r="AB19" s="68" t="s">
        <v>38</v>
      </c>
      <c r="AC19" s="71">
        <f>(2*AC18)/(12680+460*$AC$18)</f>
        <v>1.8067846607669618E-3</v>
      </c>
      <c r="AD19" s="68" t="s">
        <v>39</v>
      </c>
      <c r="AE19" s="71">
        <f>AE18/200000</f>
        <v>1.8600000000000001E-3</v>
      </c>
      <c r="AG19" s="314" t="s">
        <v>144</v>
      </c>
      <c r="AH19" s="70">
        <v>1089</v>
      </c>
      <c r="AI19" s="68" t="s">
        <v>148</v>
      </c>
      <c r="AJ19" s="70">
        <v>2.02</v>
      </c>
      <c r="AK19" s="68" t="s">
        <v>140</v>
      </c>
      <c r="AL19" s="324">
        <v>0.2</v>
      </c>
    </row>
    <row r="20" spans="2:38" ht="15.75" customHeight="1" thickBot="1" x14ac:dyDescent="0.3">
      <c r="B20" s="7"/>
      <c r="C20" s="40"/>
      <c r="D20" s="40"/>
      <c r="E20" s="40"/>
      <c r="F20" s="40"/>
      <c r="G20" s="40"/>
      <c r="H20" s="40"/>
      <c r="I20" s="40"/>
      <c r="J20" s="419">
        <v>1111</v>
      </c>
      <c r="K20" s="420">
        <v>5111</v>
      </c>
      <c r="L20" s="419">
        <v>1211</v>
      </c>
      <c r="M20" s="420">
        <v>5211</v>
      </c>
      <c r="N20" s="419">
        <v>1311</v>
      </c>
      <c r="O20" s="420">
        <v>5311</v>
      </c>
      <c r="P20" s="419">
        <v>1411</v>
      </c>
      <c r="Q20" s="8"/>
      <c r="S20" s="68" t="s">
        <v>41</v>
      </c>
      <c r="T20" s="69">
        <v>20</v>
      </c>
      <c r="U20" s="68" t="s">
        <v>15</v>
      </c>
      <c r="V20" s="69">
        <v>2</v>
      </c>
      <c r="W20" s="69">
        <v>16</v>
      </c>
      <c r="X20" s="70">
        <f>V20*PI()*(W20*0.5)^2</f>
        <v>402.12385965949352</v>
      </c>
      <c r="Y20" s="68"/>
      <c r="Z20" s="69"/>
      <c r="AA20" s="69"/>
      <c r="AB20" s="68" t="s">
        <v>34</v>
      </c>
      <c r="AC20" s="69">
        <v>3.8E-3</v>
      </c>
      <c r="AD20" s="68" t="s">
        <v>40</v>
      </c>
      <c r="AE20" s="69"/>
      <c r="AG20" s="314" t="s">
        <v>182</v>
      </c>
      <c r="AH20" s="70">
        <f>12680+460*'Structural Information'!AC23</f>
        <v>21696</v>
      </c>
      <c r="AI20" s="68" t="s">
        <v>149</v>
      </c>
      <c r="AJ20" s="70">
        <v>1.8</v>
      </c>
      <c r="AK20" s="68" t="s">
        <v>145</v>
      </c>
      <c r="AL20" s="421">
        <v>6.87</v>
      </c>
    </row>
    <row r="21" spans="2:38" ht="18" customHeight="1" x14ac:dyDescent="0.25">
      <c r="B21" s="7"/>
      <c r="C21" s="40"/>
      <c r="D21" s="40"/>
      <c r="E21" s="40"/>
      <c r="F21" s="40"/>
      <c r="G21" s="40"/>
      <c r="H21" s="40"/>
      <c r="I21" s="40"/>
      <c r="J21" s="585">
        <v>7111</v>
      </c>
      <c r="K21" s="583"/>
      <c r="L21" s="585">
        <v>7211</v>
      </c>
      <c r="M21" s="583"/>
      <c r="N21" s="585">
        <v>7311</v>
      </c>
      <c r="O21" s="583"/>
      <c r="P21" s="585">
        <v>7411</v>
      </c>
      <c r="Q21" s="8"/>
      <c r="S21" s="595" t="s">
        <v>27</v>
      </c>
      <c r="T21" s="595"/>
      <c r="U21" s="595"/>
      <c r="V21" s="595"/>
      <c r="W21" s="595"/>
      <c r="X21" s="595"/>
      <c r="Y21" s="595"/>
      <c r="Z21" s="595"/>
      <c r="AA21" s="595"/>
      <c r="AB21" s="595"/>
      <c r="AC21" s="595"/>
      <c r="AD21" s="595"/>
      <c r="AE21" s="595"/>
      <c r="AG21" s="628"/>
      <c r="AH21" s="629"/>
      <c r="AI21" s="629"/>
      <c r="AJ21" s="629"/>
      <c r="AK21" s="629"/>
      <c r="AL21" s="630"/>
    </row>
    <row r="22" spans="2:38" ht="18" customHeight="1" thickBot="1" x14ac:dyDescent="0.3">
      <c r="B22" s="7"/>
      <c r="C22" s="40"/>
      <c r="D22" s="40"/>
      <c r="E22" s="40"/>
      <c r="F22" s="40"/>
      <c r="G22" s="40"/>
      <c r="H22" s="40"/>
      <c r="I22" s="40"/>
      <c r="J22" s="586"/>
      <c r="K22" s="584"/>
      <c r="L22" s="586"/>
      <c r="M22" s="584"/>
      <c r="N22" s="586"/>
      <c r="O22" s="584"/>
      <c r="P22" s="586"/>
      <c r="Q22" s="8"/>
      <c r="S22" s="593" t="s">
        <v>22</v>
      </c>
      <c r="T22" s="594"/>
      <c r="U22" s="590" t="s">
        <v>16</v>
      </c>
      <c r="V22" s="590"/>
      <c r="W22" s="590"/>
      <c r="X22" s="590"/>
      <c r="Y22" s="590" t="s">
        <v>17</v>
      </c>
      <c r="Z22" s="590"/>
      <c r="AA22" s="590"/>
      <c r="AB22" s="590" t="s">
        <v>33</v>
      </c>
      <c r="AC22" s="590"/>
      <c r="AD22" s="590" t="s">
        <v>36</v>
      </c>
      <c r="AE22" s="590"/>
      <c r="AG22" s="622" t="s">
        <v>152</v>
      </c>
      <c r="AH22" s="623"/>
      <c r="AI22" s="623"/>
      <c r="AJ22" s="623"/>
      <c r="AK22" s="623"/>
      <c r="AL22" s="624"/>
    </row>
    <row r="23" spans="2:38" ht="16.5" thickBot="1" x14ac:dyDescent="0.3">
      <c r="B23" s="7"/>
      <c r="C23" s="40"/>
      <c r="D23" s="40"/>
      <c r="E23" s="40"/>
      <c r="F23" s="40"/>
      <c r="G23" s="40"/>
      <c r="H23" s="40"/>
      <c r="I23" s="423"/>
      <c r="J23" s="424">
        <v>1110</v>
      </c>
      <c r="K23" s="425"/>
      <c r="L23" s="424">
        <v>1210</v>
      </c>
      <c r="M23" s="425"/>
      <c r="N23" s="424">
        <v>1310</v>
      </c>
      <c r="O23" s="425"/>
      <c r="P23" s="424">
        <v>1410</v>
      </c>
      <c r="Q23" s="426"/>
      <c r="S23" s="68" t="s">
        <v>396</v>
      </c>
      <c r="T23" s="69">
        <v>250</v>
      </c>
      <c r="U23" s="68" t="s">
        <v>20</v>
      </c>
      <c r="V23" s="68" t="s">
        <v>18</v>
      </c>
      <c r="W23" s="68" t="s">
        <v>23</v>
      </c>
      <c r="X23" s="68" t="s">
        <v>19</v>
      </c>
      <c r="Y23" s="68" t="s">
        <v>20</v>
      </c>
      <c r="Z23" s="68" t="s">
        <v>23</v>
      </c>
      <c r="AA23" s="68" t="s">
        <v>21</v>
      </c>
      <c r="AB23" s="68" t="s">
        <v>35</v>
      </c>
      <c r="AC23" s="69">
        <v>19.600000000000001</v>
      </c>
      <c r="AD23" s="68" t="s">
        <v>37</v>
      </c>
      <c r="AE23" s="69">
        <v>372</v>
      </c>
      <c r="AG23" s="314" t="s">
        <v>142</v>
      </c>
      <c r="AH23" s="70">
        <v>991</v>
      </c>
      <c r="AI23" s="68" t="s">
        <v>146</v>
      </c>
      <c r="AJ23" s="70">
        <v>0.31</v>
      </c>
      <c r="AK23" s="68" t="s">
        <v>150</v>
      </c>
      <c r="AL23" s="421">
        <v>240</v>
      </c>
    </row>
    <row r="24" spans="2:38" x14ac:dyDescent="0.25">
      <c r="B24" s="7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8"/>
      <c r="S24" s="68" t="s">
        <v>13</v>
      </c>
      <c r="T24" s="69">
        <v>250</v>
      </c>
      <c r="U24" s="68" t="s">
        <v>30</v>
      </c>
      <c r="V24" s="69">
        <v>4</v>
      </c>
      <c r="W24" s="69">
        <v>16</v>
      </c>
      <c r="X24" s="70">
        <f>V24*PI()*(W24*0.5)^2</f>
        <v>804.24771931898704</v>
      </c>
      <c r="Y24" s="68" t="s">
        <v>26</v>
      </c>
      <c r="Z24" s="69">
        <v>6</v>
      </c>
      <c r="AA24" s="69">
        <v>100</v>
      </c>
      <c r="AB24" s="68" t="s">
        <v>38</v>
      </c>
      <c r="AC24" s="71">
        <f>(2*AC23)/(12680+460*AC23)</f>
        <v>1.8067846607669618E-3</v>
      </c>
      <c r="AD24" s="68" t="s">
        <v>39</v>
      </c>
      <c r="AE24" s="71">
        <f>AE23/200000</f>
        <v>1.8600000000000001E-3</v>
      </c>
      <c r="AG24" s="314" t="s">
        <v>143</v>
      </c>
      <c r="AH24" s="70">
        <v>1873</v>
      </c>
      <c r="AI24" s="68" t="s">
        <v>147</v>
      </c>
      <c r="AJ24" s="70">
        <v>0.25</v>
      </c>
      <c r="AK24" s="68" t="s">
        <v>141</v>
      </c>
      <c r="AL24" s="324">
        <v>0</v>
      </c>
    </row>
    <row r="25" spans="2:38" x14ac:dyDescent="0.25">
      <c r="B25" s="7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8"/>
      <c r="S25" s="68" t="s">
        <v>41</v>
      </c>
      <c r="T25" s="69">
        <v>20</v>
      </c>
      <c r="U25" s="68"/>
      <c r="V25" s="69"/>
      <c r="W25" s="69"/>
      <c r="X25" s="70">
        <f>V25*PI()*(W25*0.5)^2</f>
        <v>0</v>
      </c>
      <c r="Y25" s="68"/>
      <c r="Z25" s="69"/>
      <c r="AA25" s="69"/>
      <c r="AB25" s="68" t="s">
        <v>34</v>
      </c>
      <c r="AC25" s="69">
        <v>3.8E-3</v>
      </c>
      <c r="AD25" s="68" t="s">
        <v>40</v>
      </c>
      <c r="AE25" s="69"/>
      <c r="AG25" s="314" t="s">
        <v>144</v>
      </c>
      <c r="AH25" s="70">
        <v>1089</v>
      </c>
      <c r="AI25" s="68" t="s">
        <v>148</v>
      </c>
      <c r="AJ25" s="70">
        <v>1.5</v>
      </c>
      <c r="AK25" s="68" t="s">
        <v>140</v>
      </c>
      <c r="AL25" s="324">
        <v>0.2</v>
      </c>
    </row>
    <row r="26" spans="2:38" x14ac:dyDescent="0.25">
      <c r="B26" s="7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8"/>
      <c r="S26" s="596" t="s">
        <v>28</v>
      </c>
      <c r="T26" s="596"/>
      <c r="U26" s="596"/>
      <c r="V26" s="596"/>
      <c r="W26" s="596"/>
      <c r="X26" s="596"/>
      <c r="Y26" s="596"/>
      <c r="Z26" s="596"/>
      <c r="AA26" s="596"/>
      <c r="AB26" s="596"/>
      <c r="AC26" s="596"/>
      <c r="AD26" s="596"/>
      <c r="AE26" s="596"/>
      <c r="AG26" s="314" t="s">
        <v>182</v>
      </c>
      <c r="AH26" s="70">
        <f>12680+460*'Structural Information'!AC23</f>
        <v>21696</v>
      </c>
      <c r="AI26" s="68" t="s">
        <v>149</v>
      </c>
      <c r="AJ26" s="70">
        <v>1.1100000000000001</v>
      </c>
      <c r="AK26" s="68" t="s">
        <v>145</v>
      </c>
      <c r="AL26" s="324">
        <v>6.87</v>
      </c>
    </row>
    <row r="27" spans="2:38" x14ac:dyDescent="0.25">
      <c r="B27" s="7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8"/>
      <c r="S27" s="593" t="s">
        <v>22</v>
      </c>
      <c r="T27" s="594"/>
      <c r="U27" s="590" t="s">
        <v>16</v>
      </c>
      <c r="V27" s="590"/>
      <c r="W27" s="590"/>
      <c r="X27" s="590"/>
      <c r="Y27" s="590" t="s">
        <v>17</v>
      </c>
      <c r="Z27" s="590"/>
      <c r="AA27" s="590"/>
      <c r="AB27" s="590" t="s">
        <v>33</v>
      </c>
      <c r="AC27" s="590"/>
      <c r="AD27" s="590" t="s">
        <v>36</v>
      </c>
      <c r="AE27" s="590"/>
      <c r="AG27" s="628"/>
      <c r="AH27" s="629"/>
      <c r="AI27" s="629"/>
      <c r="AJ27" s="629"/>
      <c r="AK27" s="629"/>
      <c r="AL27" s="630"/>
    </row>
    <row r="28" spans="2:38" x14ac:dyDescent="0.25">
      <c r="B28" s="589" t="s">
        <v>221</v>
      </c>
      <c r="C28" s="582"/>
      <c r="D28" s="582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8"/>
      <c r="S28" s="68" t="s">
        <v>396</v>
      </c>
      <c r="T28" s="69">
        <v>300</v>
      </c>
      <c r="U28" s="68" t="s">
        <v>20</v>
      </c>
      <c r="V28" s="68" t="s">
        <v>18</v>
      </c>
      <c r="W28" s="68" t="s">
        <v>23</v>
      </c>
      <c r="X28" s="68" t="s">
        <v>19</v>
      </c>
      <c r="Y28" s="68" t="s">
        <v>20</v>
      </c>
      <c r="Z28" s="68" t="s">
        <v>23</v>
      </c>
      <c r="AA28" s="68" t="s">
        <v>21</v>
      </c>
      <c r="AB28" s="68" t="s">
        <v>35</v>
      </c>
      <c r="AC28" s="69">
        <v>19.600000000000001</v>
      </c>
      <c r="AD28" s="68" t="s">
        <v>37</v>
      </c>
      <c r="AE28" s="69">
        <v>372</v>
      </c>
      <c r="AG28" s="619" t="s">
        <v>153</v>
      </c>
      <c r="AH28" s="620"/>
      <c r="AI28" s="620"/>
      <c r="AJ28" s="620"/>
      <c r="AK28" s="620"/>
      <c r="AL28" s="621"/>
    </row>
    <row r="29" spans="2:38" x14ac:dyDescent="0.25">
      <c r="B29" s="589"/>
      <c r="C29" s="582"/>
      <c r="D29" s="582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8"/>
      <c r="S29" s="68" t="s">
        <v>13</v>
      </c>
      <c r="T29" s="69">
        <v>300</v>
      </c>
      <c r="U29" s="68" t="s">
        <v>30</v>
      </c>
      <c r="V29" s="69">
        <v>4</v>
      </c>
      <c r="W29" s="69">
        <v>16</v>
      </c>
      <c r="X29" s="70">
        <f>V29*PI()*(W29*0.5)^2</f>
        <v>804.24771931898704</v>
      </c>
      <c r="Y29" s="68" t="s">
        <v>26</v>
      </c>
      <c r="Z29" s="69">
        <v>6</v>
      </c>
      <c r="AA29" s="69">
        <v>150</v>
      </c>
      <c r="AB29" s="68" t="s">
        <v>38</v>
      </c>
      <c r="AC29" s="71">
        <f>(2*AC28)/(12680+460*AC28)</f>
        <v>1.8067846607669618E-3</v>
      </c>
      <c r="AD29" s="68" t="s">
        <v>39</v>
      </c>
      <c r="AE29" s="71">
        <f>AE28/200000</f>
        <v>1.8600000000000001E-3</v>
      </c>
      <c r="AG29" s="314" t="s">
        <v>142</v>
      </c>
      <c r="AH29" s="70">
        <v>1050</v>
      </c>
      <c r="AI29" s="68" t="s">
        <v>146</v>
      </c>
      <c r="AJ29" s="70">
        <v>0.36</v>
      </c>
      <c r="AK29" s="68" t="s">
        <v>150</v>
      </c>
      <c r="AL29" s="421">
        <v>300</v>
      </c>
    </row>
    <row r="30" spans="2:38" x14ac:dyDescent="0.25">
      <c r="B30" s="7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8"/>
      <c r="S30" s="68" t="s">
        <v>41</v>
      </c>
      <c r="T30" s="69">
        <v>20</v>
      </c>
      <c r="U30" s="68"/>
      <c r="V30" s="69"/>
      <c r="W30" s="69"/>
      <c r="X30" s="70">
        <f>V30*PI()*(W30*0.5)^2</f>
        <v>0</v>
      </c>
      <c r="Y30" s="68"/>
      <c r="Z30" s="69"/>
      <c r="AA30" s="69"/>
      <c r="AB30" s="68" t="s">
        <v>34</v>
      </c>
      <c r="AC30" s="69">
        <v>3.8E-3</v>
      </c>
      <c r="AD30" s="68" t="s">
        <v>40</v>
      </c>
      <c r="AE30" s="69"/>
      <c r="AG30" s="314" t="s">
        <v>143</v>
      </c>
      <c r="AH30" s="70">
        <v>3240</v>
      </c>
      <c r="AI30" s="68" t="s">
        <v>147</v>
      </c>
      <c r="AJ30" s="70">
        <v>0.3</v>
      </c>
      <c r="AK30" s="68" t="s">
        <v>141</v>
      </c>
      <c r="AL30" s="324">
        <v>0</v>
      </c>
    </row>
    <row r="31" spans="2:38" ht="16.5" thickBot="1" x14ac:dyDescent="0.3">
      <c r="B31" s="41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S31" s="597" t="s">
        <v>29</v>
      </c>
      <c r="T31" s="597"/>
      <c r="U31" s="597"/>
      <c r="V31" s="597"/>
      <c r="W31" s="597"/>
      <c r="X31" s="597"/>
      <c r="Y31" s="597"/>
      <c r="Z31" s="597"/>
      <c r="AA31" s="597"/>
      <c r="AB31" s="597"/>
      <c r="AC31" s="597"/>
      <c r="AD31" s="597"/>
      <c r="AE31" s="597"/>
      <c r="AG31" s="314" t="s">
        <v>144</v>
      </c>
      <c r="AH31" s="70">
        <v>1296</v>
      </c>
      <c r="AI31" s="68" t="s">
        <v>148</v>
      </c>
      <c r="AJ31" s="70">
        <v>3.51</v>
      </c>
      <c r="AK31" s="68" t="s">
        <v>140</v>
      </c>
      <c r="AL31" s="324">
        <v>0.2</v>
      </c>
    </row>
    <row r="32" spans="2:38" ht="16.5" thickBot="1" x14ac:dyDescent="0.3">
      <c r="S32" s="593" t="s">
        <v>22</v>
      </c>
      <c r="T32" s="594"/>
      <c r="U32" s="590" t="s">
        <v>16</v>
      </c>
      <c r="V32" s="590"/>
      <c r="W32" s="590"/>
      <c r="X32" s="590"/>
      <c r="Y32" s="590" t="s">
        <v>17</v>
      </c>
      <c r="Z32" s="590"/>
      <c r="AA32" s="590"/>
      <c r="AB32" s="590" t="s">
        <v>33</v>
      </c>
      <c r="AC32" s="590"/>
      <c r="AD32" s="590" t="s">
        <v>36</v>
      </c>
      <c r="AE32" s="590"/>
      <c r="AG32" s="422" t="s">
        <v>182</v>
      </c>
      <c r="AH32" s="150">
        <f>12680+460*'Structural Information'!AC23</f>
        <v>21696</v>
      </c>
      <c r="AI32" s="427" t="s">
        <v>149</v>
      </c>
      <c r="AJ32" s="150">
        <v>1.5</v>
      </c>
      <c r="AK32" s="427" t="s">
        <v>145</v>
      </c>
      <c r="AL32" s="338">
        <v>7.36</v>
      </c>
    </row>
    <row r="33" spans="19:31" ht="15" customHeight="1" x14ac:dyDescent="0.25">
      <c r="S33" s="68" t="s">
        <v>396</v>
      </c>
      <c r="T33" s="69">
        <v>500</v>
      </c>
      <c r="U33" s="68" t="s">
        <v>20</v>
      </c>
      <c r="V33" s="68" t="s">
        <v>18</v>
      </c>
      <c r="W33" s="68" t="s">
        <v>23</v>
      </c>
      <c r="X33" s="68" t="s">
        <v>19</v>
      </c>
      <c r="Y33" s="68" t="s">
        <v>20</v>
      </c>
      <c r="Z33" s="68" t="s">
        <v>23</v>
      </c>
      <c r="AA33" s="68" t="s">
        <v>21</v>
      </c>
      <c r="AB33" s="68" t="s">
        <v>35</v>
      </c>
      <c r="AC33" s="69">
        <v>19.600000000000001</v>
      </c>
      <c r="AD33" s="68" t="s">
        <v>37</v>
      </c>
      <c r="AE33" s="69">
        <v>372</v>
      </c>
    </row>
    <row r="34" spans="19:31" x14ac:dyDescent="0.25">
      <c r="S34" s="68" t="s">
        <v>13</v>
      </c>
      <c r="T34" s="69">
        <v>350</v>
      </c>
      <c r="U34" s="68" t="s">
        <v>30</v>
      </c>
      <c r="V34" s="69">
        <v>4</v>
      </c>
      <c r="W34" s="69">
        <v>18</v>
      </c>
      <c r="X34" s="70">
        <f>V34*PI()*(W34*0.5)^2</f>
        <v>1017.8760197630929</v>
      </c>
      <c r="Y34" s="68" t="s">
        <v>26</v>
      </c>
      <c r="Z34" s="69">
        <v>6</v>
      </c>
      <c r="AA34" s="69">
        <v>150</v>
      </c>
      <c r="AB34" s="68" t="s">
        <v>38</v>
      </c>
      <c r="AC34" s="71">
        <f>(2*AC33)/(12680+460*AC33)</f>
        <v>1.8067846607669618E-3</v>
      </c>
      <c r="AD34" s="68" t="s">
        <v>39</v>
      </c>
      <c r="AE34" s="71">
        <f>AE33/200000</f>
        <v>1.8600000000000001E-3</v>
      </c>
    </row>
    <row r="35" spans="19:31" x14ac:dyDescent="0.25">
      <c r="S35" s="68" t="s">
        <v>41</v>
      </c>
      <c r="T35" s="69">
        <v>20</v>
      </c>
      <c r="U35" s="68"/>
      <c r="V35" s="69"/>
      <c r="W35" s="69"/>
      <c r="X35" s="70">
        <f>V35*PI()*(W35*0.5)^2</f>
        <v>0</v>
      </c>
      <c r="Y35" s="68"/>
      <c r="Z35" s="69"/>
      <c r="AA35" s="69"/>
      <c r="AB35" s="68" t="s">
        <v>34</v>
      </c>
      <c r="AC35" s="69">
        <v>3.8E-3</v>
      </c>
      <c r="AD35" s="68" t="s">
        <v>40</v>
      </c>
      <c r="AE35" s="69"/>
    </row>
  </sheetData>
  <mergeCells count="84">
    <mergeCell ref="AG14:AL15"/>
    <mergeCell ref="S2:AC3"/>
    <mergeCell ref="AA4:AA12"/>
    <mergeCell ref="AB9:AC12"/>
    <mergeCell ref="AG28:AL28"/>
    <mergeCell ref="AG22:AL22"/>
    <mergeCell ref="AG16:AL16"/>
    <mergeCell ref="AG21:AL21"/>
    <mergeCell ref="AG27:AL27"/>
    <mergeCell ref="AB27:AC27"/>
    <mergeCell ref="AD27:AE27"/>
    <mergeCell ref="AB4:AB5"/>
    <mergeCell ref="AC4:AC5"/>
    <mergeCell ref="V4:Z4"/>
    <mergeCell ref="S4:S5"/>
    <mergeCell ref="T4:T5"/>
    <mergeCell ref="AB32:AC32"/>
    <mergeCell ref="AD32:AE32"/>
    <mergeCell ref="S21:AE21"/>
    <mergeCell ref="S26:AE26"/>
    <mergeCell ref="S31:AE31"/>
    <mergeCell ref="S22:T22"/>
    <mergeCell ref="S27:T27"/>
    <mergeCell ref="S32:T32"/>
    <mergeCell ref="U27:X27"/>
    <mergeCell ref="Y27:AA27"/>
    <mergeCell ref="U32:X32"/>
    <mergeCell ref="Y32:AA32"/>
    <mergeCell ref="B28:D29"/>
    <mergeCell ref="AB17:AC17"/>
    <mergeCell ref="AD17:AE17"/>
    <mergeCell ref="S16:AE16"/>
    <mergeCell ref="S14:AE15"/>
    <mergeCell ref="AB22:AC22"/>
    <mergeCell ref="AD22:AE22"/>
    <mergeCell ref="S17:T17"/>
    <mergeCell ref="U22:X22"/>
    <mergeCell ref="Y22:AA22"/>
    <mergeCell ref="U17:X17"/>
    <mergeCell ref="Y17:AA17"/>
    <mergeCell ref="M15:M16"/>
    <mergeCell ref="N21:N22"/>
    <mergeCell ref="N18:N19"/>
    <mergeCell ref="P21:P22"/>
    <mergeCell ref="U4:U5"/>
    <mergeCell ref="M21:M22"/>
    <mergeCell ref="K21:K22"/>
    <mergeCell ref="K18:K19"/>
    <mergeCell ref="K15:K16"/>
    <mergeCell ref="K12:K13"/>
    <mergeCell ref="P9:P10"/>
    <mergeCell ref="P12:P13"/>
    <mergeCell ref="P15:P16"/>
    <mergeCell ref="O15:O16"/>
    <mergeCell ref="O12:O13"/>
    <mergeCell ref="O9:O10"/>
    <mergeCell ref="J18:J19"/>
    <mergeCell ref="J21:J22"/>
    <mergeCell ref="L21:L22"/>
    <mergeCell ref="O6:O7"/>
    <mergeCell ref="M6:M7"/>
    <mergeCell ref="N15:N16"/>
    <mergeCell ref="K6:K7"/>
    <mergeCell ref="O21:O22"/>
    <mergeCell ref="O18:O19"/>
    <mergeCell ref="M12:M13"/>
    <mergeCell ref="K9:K10"/>
    <mergeCell ref="M9:M10"/>
    <mergeCell ref="J2:P3"/>
    <mergeCell ref="M18:M19"/>
    <mergeCell ref="J6:J7"/>
    <mergeCell ref="J9:J10"/>
    <mergeCell ref="J12:J13"/>
    <mergeCell ref="J15:J16"/>
    <mergeCell ref="N12:N13"/>
    <mergeCell ref="N9:N10"/>
    <mergeCell ref="L6:L7"/>
    <mergeCell ref="L9:L10"/>
    <mergeCell ref="L12:L13"/>
    <mergeCell ref="L15:L16"/>
    <mergeCell ref="L18:L19"/>
    <mergeCell ref="P18:P19"/>
    <mergeCell ref="N6:N7"/>
    <mergeCell ref="P6:P7"/>
  </mergeCells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F41AE-1D84-431C-AD05-B0A34A9C3C68}">
  <sheetPr codeName="Sheet3"/>
  <dimension ref="B1:BS100"/>
  <sheetViews>
    <sheetView zoomScale="80" zoomScaleNormal="80" workbookViewId="0">
      <selection activeCell="BC26" sqref="BC26"/>
    </sheetView>
  </sheetViews>
  <sheetFormatPr defaultRowHeight="15.75" x14ac:dyDescent="0.25"/>
  <cols>
    <col min="1" max="2" width="9.140625" style="6"/>
    <col min="3" max="3" width="8.85546875" style="6" customWidth="1"/>
    <col min="4" max="4" width="10.140625" style="6" bestFit="1" customWidth="1"/>
    <col min="5" max="5" width="11.42578125" style="6" bestFit="1" customWidth="1"/>
    <col min="6" max="6" width="11" style="6" customWidth="1"/>
    <col min="7" max="7" width="11.28515625" style="6" bestFit="1" customWidth="1"/>
    <col min="8" max="8" width="10.85546875" style="6" bestFit="1" customWidth="1"/>
    <col min="9" max="9" width="11.42578125" style="6" bestFit="1" customWidth="1"/>
    <col min="10" max="10" width="11" style="6" customWidth="1"/>
    <col min="11" max="11" width="12.42578125" style="6" bestFit="1" customWidth="1"/>
    <col min="12" max="12" width="12.140625" style="6" bestFit="1" customWidth="1"/>
    <col min="13" max="14" width="12.140625" style="6" customWidth="1"/>
    <col min="15" max="15" width="11.28515625" style="6" customWidth="1"/>
    <col min="16" max="16" width="9.5703125" style="6" bestFit="1" customWidth="1"/>
    <col min="17" max="17" width="8.7109375" style="6" customWidth="1"/>
    <col min="18" max="18" width="9.140625" style="6"/>
    <col min="19" max="19" width="8.85546875" style="6" customWidth="1"/>
    <col min="20" max="20" width="9" style="6" customWidth="1"/>
    <col min="21" max="21" width="9.7109375" style="6" customWidth="1"/>
    <col min="22" max="22" width="9.7109375" style="6" bestFit="1" customWidth="1"/>
    <col min="23" max="23" width="8.85546875" style="6" bestFit="1" customWidth="1"/>
    <col min="24" max="24" width="10.5703125" style="6" bestFit="1" customWidth="1"/>
    <col min="25" max="25" width="10.7109375" style="6" bestFit="1" customWidth="1"/>
    <col min="26" max="26" width="11" style="6" bestFit="1" customWidth="1"/>
    <col min="27" max="35" width="9.140625" style="6"/>
    <col min="36" max="36" width="9.85546875" style="6" bestFit="1" customWidth="1"/>
    <col min="37" max="37" width="11.42578125" style="6" customWidth="1"/>
    <col min="38" max="38" width="9.85546875" style="6" bestFit="1" customWidth="1"/>
    <col min="39" max="39" width="9" style="6" customWidth="1"/>
    <col min="40" max="45" width="9.140625" style="6"/>
    <col min="46" max="46" width="11" style="6" customWidth="1"/>
    <col min="47" max="47" width="10.28515625" style="6" bestFit="1" customWidth="1"/>
    <col min="48" max="48" width="10.42578125" style="6" customWidth="1"/>
    <col min="49" max="49" width="11.7109375" style="6" customWidth="1"/>
    <col min="50" max="50" width="10.28515625" style="6" bestFit="1" customWidth="1"/>
    <col min="51" max="51" width="12.7109375" style="6" customWidth="1"/>
    <col min="52" max="52" width="11.5703125" style="6" bestFit="1" customWidth="1"/>
    <col min="53" max="53" width="9.28515625" style="6" bestFit="1" customWidth="1"/>
    <col min="54" max="54" width="10.28515625" style="6" bestFit="1" customWidth="1"/>
    <col min="55" max="55" width="11.28515625" style="6" bestFit="1" customWidth="1"/>
    <col min="56" max="56" width="11.5703125" style="6" bestFit="1" customWidth="1"/>
    <col min="57" max="57" width="9.140625" style="6"/>
    <col min="58" max="58" width="9.28515625" style="6" bestFit="1" customWidth="1"/>
    <col min="59" max="59" width="9.28515625" style="6" customWidth="1"/>
    <col min="60" max="60" width="11.7109375" style="6" customWidth="1"/>
    <col min="61" max="61" width="11.28515625" style="6" bestFit="1" customWidth="1"/>
    <col min="62" max="62" width="11.5703125" style="6" bestFit="1" customWidth="1"/>
    <col min="63" max="65" width="9.140625" style="6"/>
    <col min="66" max="66" width="10.28515625" style="6" customWidth="1"/>
    <col min="67" max="16384" width="9.140625" style="6"/>
  </cols>
  <sheetData>
    <row r="1" spans="2:71" ht="16.5" thickBot="1" x14ac:dyDescent="0.3"/>
    <row r="2" spans="2:71" ht="16.5" thickBot="1" x14ac:dyDescent="0.3">
      <c r="B2" s="663" t="s">
        <v>304</v>
      </c>
      <c r="C2" s="664"/>
      <c r="D2" s="664"/>
      <c r="E2" s="664"/>
      <c r="F2" s="664"/>
      <c r="G2" s="664"/>
      <c r="H2" s="664"/>
      <c r="I2" s="664"/>
      <c r="J2" s="664"/>
      <c r="K2" s="664"/>
      <c r="L2" s="664"/>
      <c r="M2" s="664"/>
      <c r="N2" s="664"/>
      <c r="O2" s="665"/>
      <c r="Q2" s="696" t="s">
        <v>229</v>
      </c>
      <c r="R2" s="697"/>
      <c r="S2" s="697"/>
      <c r="T2" s="697"/>
      <c r="U2" s="697"/>
      <c r="V2" s="697"/>
      <c r="W2" s="697"/>
      <c r="X2" s="697"/>
      <c r="Y2" s="697"/>
      <c r="Z2" s="697"/>
      <c r="AA2" s="697"/>
      <c r="AB2" s="697"/>
      <c r="AC2" s="697"/>
      <c r="AD2" s="697"/>
      <c r="AE2" s="697"/>
      <c r="AF2" s="697"/>
      <c r="AG2" s="698"/>
      <c r="AI2" s="689" t="s">
        <v>81</v>
      </c>
      <c r="AJ2" s="690"/>
      <c r="AK2" s="690"/>
      <c r="AL2" s="690"/>
      <c r="AM2" s="690"/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1"/>
      <c r="BB2" s="682" t="s">
        <v>442</v>
      </c>
      <c r="BC2" s="683"/>
      <c r="BD2" s="683"/>
      <c r="BE2" s="683"/>
      <c r="BF2" s="683"/>
      <c r="BG2" s="683"/>
      <c r="BH2" s="683"/>
      <c r="BI2" s="683"/>
      <c r="BJ2" s="684"/>
      <c r="BK2" s="1"/>
      <c r="BL2" s="1"/>
      <c r="BM2" s="1"/>
    </row>
    <row r="3" spans="2:71" ht="15" customHeight="1" thickBot="1" x14ac:dyDescent="0.3">
      <c r="B3" s="655" t="s">
        <v>63</v>
      </c>
      <c r="C3" s="658" t="s">
        <v>32</v>
      </c>
      <c r="D3" s="658" t="s">
        <v>30</v>
      </c>
      <c r="E3" s="667" t="s">
        <v>223</v>
      </c>
      <c r="F3" s="668" t="s">
        <v>224</v>
      </c>
      <c r="G3" s="667" t="s">
        <v>227</v>
      </c>
      <c r="H3" s="668" t="s">
        <v>228</v>
      </c>
      <c r="I3" s="667" t="s">
        <v>225</v>
      </c>
      <c r="J3" s="668" t="s">
        <v>226</v>
      </c>
      <c r="K3" s="667" t="s">
        <v>307</v>
      </c>
      <c r="L3" s="668" t="s">
        <v>308</v>
      </c>
      <c r="M3" s="678"/>
      <c r="N3" s="680"/>
      <c r="O3" s="677"/>
      <c r="Q3" s="640" t="s">
        <v>9</v>
      </c>
      <c r="R3" s="590"/>
      <c r="S3" s="590">
        <v>1</v>
      </c>
      <c r="T3" s="590"/>
      <c r="U3" s="590"/>
      <c r="V3" s="590"/>
      <c r="W3" s="590"/>
      <c r="X3" s="590">
        <v>2</v>
      </c>
      <c r="Y3" s="590"/>
      <c r="Z3" s="590"/>
      <c r="AA3" s="590"/>
      <c r="AB3" s="590"/>
      <c r="AC3" s="590">
        <v>3</v>
      </c>
      <c r="AD3" s="590"/>
      <c r="AE3" s="590"/>
      <c r="AF3" s="590"/>
      <c r="AG3" s="704"/>
      <c r="AI3" s="634" t="s">
        <v>74</v>
      </c>
      <c r="AJ3" s="587" t="s">
        <v>75</v>
      </c>
      <c r="AK3" s="587"/>
      <c r="AL3" s="705" t="s">
        <v>76</v>
      </c>
      <c r="AM3" s="587" t="s">
        <v>77</v>
      </c>
      <c r="AN3" s="587" t="s">
        <v>78</v>
      </c>
      <c r="AO3" s="587" t="s">
        <v>79</v>
      </c>
      <c r="AP3" s="633" t="s">
        <v>82</v>
      </c>
      <c r="AQ3" s="692" t="s">
        <v>346</v>
      </c>
      <c r="AR3" s="645" t="s">
        <v>80</v>
      </c>
      <c r="AS3" s="645" t="s">
        <v>59</v>
      </c>
      <c r="AT3" s="645" t="s">
        <v>432</v>
      </c>
      <c r="AU3" s="643" t="s">
        <v>314</v>
      </c>
      <c r="AV3" s="643" t="s">
        <v>59</v>
      </c>
      <c r="AW3" s="643" t="s">
        <v>433</v>
      </c>
      <c r="AX3" s="685" t="s">
        <v>315</v>
      </c>
      <c r="AY3" s="685" t="s">
        <v>59</v>
      </c>
      <c r="AZ3" s="687" t="s">
        <v>434</v>
      </c>
      <c r="BB3" s="79" t="str">
        <f>'System Capacities'!C31</f>
        <v>Storey</v>
      </c>
      <c r="BC3" s="693" t="str">
        <f>'System Capacities'!D31</f>
        <v>Sway Mechanism at Storey i</v>
      </c>
      <c r="BD3" s="694"/>
      <c r="BE3" s="694"/>
      <c r="BF3" s="695"/>
      <c r="BG3" s="80" t="str">
        <f>'System Capacities'!G31</f>
        <v>VR,i [kN]</v>
      </c>
      <c r="BH3" s="80" t="str">
        <f>'System Capacities'!H31</f>
        <v>hs,i [m]</v>
      </c>
      <c r="BI3" s="80" t="str">
        <f>'System Capacities'!I31</f>
        <v>θsys,i [rad]</v>
      </c>
      <c r="BJ3" s="81" t="str">
        <f>'System Capacities'!J31</f>
        <v>ky,i [kN/m]</v>
      </c>
    </row>
    <row r="4" spans="2:71" ht="16.5" thickBot="1" x14ac:dyDescent="0.3">
      <c r="B4" s="662"/>
      <c r="C4" s="659"/>
      <c r="D4" s="659"/>
      <c r="E4" s="661"/>
      <c r="F4" s="637"/>
      <c r="G4" s="661"/>
      <c r="H4" s="637"/>
      <c r="I4" s="661"/>
      <c r="J4" s="637"/>
      <c r="K4" s="661"/>
      <c r="L4" s="637"/>
      <c r="M4" s="679"/>
      <c r="N4" s="681"/>
      <c r="O4" s="639"/>
      <c r="Q4" s="640" t="s">
        <v>42</v>
      </c>
      <c r="R4" s="590"/>
      <c r="S4" s="82" t="s">
        <v>43</v>
      </c>
      <c r="T4" s="82" t="s">
        <v>44</v>
      </c>
      <c r="U4" s="82" t="s">
        <v>45</v>
      </c>
      <c r="V4" s="82" t="s">
        <v>46</v>
      </c>
      <c r="W4" s="83" t="s">
        <v>62</v>
      </c>
      <c r="X4" s="82" t="s">
        <v>47</v>
      </c>
      <c r="Y4" s="82" t="s">
        <v>48</v>
      </c>
      <c r="Z4" s="82" t="s">
        <v>49</v>
      </c>
      <c r="AA4" s="82" t="s">
        <v>50</v>
      </c>
      <c r="AB4" s="83" t="s">
        <v>62</v>
      </c>
      <c r="AC4" s="82" t="s">
        <v>51</v>
      </c>
      <c r="AD4" s="82" t="s">
        <v>52</v>
      </c>
      <c r="AE4" s="82" t="s">
        <v>53</v>
      </c>
      <c r="AF4" s="82" t="s">
        <v>54</v>
      </c>
      <c r="AG4" s="84" t="s">
        <v>62</v>
      </c>
      <c r="AI4" s="635"/>
      <c r="AJ4" s="588"/>
      <c r="AK4" s="588"/>
      <c r="AL4" s="706"/>
      <c r="AM4" s="588"/>
      <c r="AN4" s="588"/>
      <c r="AO4" s="588"/>
      <c r="AP4" s="590"/>
      <c r="AQ4" s="587"/>
      <c r="AR4" s="646"/>
      <c r="AS4" s="646"/>
      <c r="AT4" s="646"/>
      <c r="AU4" s="644"/>
      <c r="AV4" s="644"/>
      <c r="AW4" s="644"/>
      <c r="AX4" s="686"/>
      <c r="AY4" s="686"/>
      <c r="AZ4" s="688"/>
      <c r="BB4" s="85">
        <f>'System Capacities'!C32</f>
        <v>6</v>
      </c>
      <c r="BC4" s="674" t="str">
        <f>'System Capacities'!D32</f>
        <v>Column</v>
      </c>
      <c r="BD4" s="675"/>
      <c r="BE4" s="675"/>
      <c r="BF4" s="676"/>
      <c r="BG4" s="86">
        <f>'System Capacities'!G32</f>
        <v>88.933333333333337</v>
      </c>
      <c r="BH4" s="86">
        <f>'Structural Information'!U6</f>
        <v>3</v>
      </c>
      <c r="BI4" s="87">
        <f>'System Capacities'!I32</f>
        <v>8.3119145368492249E-3</v>
      </c>
      <c r="BJ4" s="88">
        <f>'System Capacities'!J32</f>
        <v>3566.500150238754</v>
      </c>
    </row>
    <row r="5" spans="2:71" x14ac:dyDescent="0.25">
      <c r="B5" s="655">
        <v>1</v>
      </c>
      <c r="C5" s="89">
        <v>5111</v>
      </c>
      <c r="D5" s="89" t="s">
        <v>12</v>
      </c>
      <c r="E5" s="90">
        <v>61.6</v>
      </c>
      <c r="F5" s="91">
        <v>120</v>
      </c>
      <c r="G5" s="90">
        <v>66.3</v>
      </c>
      <c r="H5" s="91">
        <v>129.19999999999999</v>
      </c>
      <c r="I5" s="92">
        <v>53.1</v>
      </c>
      <c r="J5" s="93">
        <v>103.4</v>
      </c>
      <c r="K5" s="92">
        <v>6.6</v>
      </c>
      <c r="L5" s="93">
        <v>12.9</v>
      </c>
      <c r="M5" s="94"/>
      <c r="N5" s="94"/>
      <c r="O5" s="95"/>
      <c r="Q5" s="640" t="s">
        <v>61</v>
      </c>
      <c r="R5" s="593"/>
      <c r="S5" s="96">
        <v>30.8</v>
      </c>
      <c r="T5" s="97">
        <v>98.8</v>
      </c>
      <c r="U5" s="97">
        <v>98.8</v>
      </c>
      <c r="V5" s="98">
        <v>71.3</v>
      </c>
      <c r="W5" s="99">
        <f>S5+T5+U5+V5</f>
        <v>299.7</v>
      </c>
      <c r="X5" s="96">
        <v>30.8</v>
      </c>
      <c r="Y5" s="100">
        <v>82.8</v>
      </c>
      <c r="Z5" s="100">
        <v>82.8</v>
      </c>
      <c r="AA5" s="98">
        <v>47.5</v>
      </c>
      <c r="AB5" s="99">
        <f>X5+Y5+Z5+AA5</f>
        <v>243.89999999999998</v>
      </c>
      <c r="AC5" s="96">
        <v>30.8</v>
      </c>
      <c r="AD5" s="100">
        <v>77.8</v>
      </c>
      <c r="AE5" s="100">
        <v>77.8</v>
      </c>
      <c r="AF5" s="98">
        <v>44.9</v>
      </c>
      <c r="AG5" s="101">
        <f>AC5+AD5+AE5+AF5</f>
        <v>231.29999999999998</v>
      </c>
      <c r="AI5" s="640">
        <v>6</v>
      </c>
      <c r="AJ5" s="703" t="s">
        <v>42</v>
      </c>
      <c r="AK5" s="703"/>
      <c r="AL5" s="102">
        <v>1116</v>
      </c>
      <c r="AM5" s="102">
        <v>7116</v>
      </c>
      <c r="AN5" s="103">
        <f>'Structural Information'!U6</f>
        <v>3</v>
      </c>
      <c r="AO5" s="103">
        <f>'Structural Information'!T23/1000</f>
        <v>0.25</v>
      </c>
      <c r="AP5" s="104">
        <f t="shared" ref="AP5:AP20" si="0">0.43*AN5</f>
        <v>1.29</v>
      </c>
      <c r="AQ5" s="105">
        <f>(0.08*AP5*1000+0.022*'Structural Information'!$AE$18*'Structural Information'!$W$24)/1000</f>
        <v>0.23414400000000002</v>
      </c>
      <c r="AR5" s="106">
        <f>AP5*E82/3</f>
        <v>6.7510000000000001E-3</v>
      </c>
      <c r="AS5" s="100">
        <v>30.8</v>
      </c>
      <c r="AT5" s="107">
        <f t="shared" ref="AT5:AT32" si="1">AS5*AR5</f>
        <v>0.2079308</v>
      </c>
      <c r="AU5" s="108">
        <f>AR5+AQ5*(AR5*3/AP5)*(N82-1)</f>
        <v>2.4311800000000001E-2</v>
      </c>
      <c r="AV5" s="109">
        <v>33.1</v>
      </c>
      <c r="AW5" s="110">
        <f t="shared" ref="AW5:AW32" si="2">AV5*AU5</f>
        <v>0.80472058000000013</v>
      </c>
      <c r="AX5" s="111">
        <f>AR5+AQ5*(AR5*3/AP5)*(O82-1)</f>
        <v>6.8728916799999998E-2</v>
      </c>
      <c r="AY5" s="112">
        <v>26.5</v>
      </c>
      <c r="AZ5" s="113">
        <f t="shared" ref="AZ5:AZ32" si="3">AY5*AX5</f>
        <v>1.8213162951999999</v>
      </c>
      <c r="BB5" s="114">
        <f>'System Capacities'!C33</f>
        <v>5</v>
      </c>
      <c r="BC5" s="674" t="str">
        <f>'System Capacities'!D33</f>
        <v>Column</v>
      </c>
      <c r="BD5" s="675"/>
      <c r="BE5" s="675"/>
      <c r="BF5" s="676"/>
      <c r="BG5" s="70">
        <f>'System Capacities'!G33</f>
        <v>104.39999999999999</v>
      </c>
      <c r="BH5" s="70">
        <f>'Structural Information'!U7</f>
        <v>3</v>
      </c>
      <c r="BI5" s="87">
        <f>'System Capacities'!I33</f>
        <v>9.597600000000003E-3</v>
      </c>
      <c r="BJ5" s="88">
        <f>'System Capacities'!J33</f>
        <v>3625.9064766191536</v>
      </c>
    </row>
    <row r="6" spans="2:71" x14ac:dyDescent="0.25">
      <c r="B6" s="655"/>
      <c r="C6" s="89">
        <v>5112</v>
      </c>
      <c r="D6" s="89" t="s">
        <v>12</v>
      </c>
      <c r="E6" s="90">
        <v>61.6</v>
      </c>
      <c r="F6" s="91">
        <v>120</v>
      </c>
      <c r="G6" s="90">
        <v>66.3</v>
      </c>
      <c r="H6" s="91">
        <v>129.19999999999999</v>
      </c>
      <c r="I6" s="92">
        <v>53.1</v>
      </c>
      <c r="J6" s="93">
        <v>103.4</v>
      </c>
      <c r="K6" s="92">
        <v>6.6</v>
      </c>
      <c r="L6" s="93">
        <v>12.9</v>
      </c>
      <c r="M6" s="94"/>
      <c r="N6" s="94"/>
      <c r="O6" s="95"/>
      <c r="Q6" s="640" t="s">
        <v>60</v>
      </c>
      <c r="R6" s="593"/>
      <c r="S6" s="115">
        <v>71.3</v>
      </c>
      <c r="T6" s="116">
        <v>118.8</v>
      </c>
      <c r="U6" s="116">
        <v>118.8</v>
      </c>
      <c r="V6" s="117">
        <v>71.3</v>
      </c>
      <c r="W6" s="99">
        <f>S6+T6+U6+V6</f>
        <v>380.2</v>
      </c>
      <c r="X6" s="118">
        <v>30.8</v>
      </c>
      <c r="Y6" s="116">
        <v>82.8</v>
      </c>
      <c r="Z6" s="116">
        <v>82.8</v>
      </c>
      <c r="AA6" s="117">
        <v>47.5</v>
      </c>
      <c r="AB6" s="99">
        <f>X6+Y6+Z6+AA6</f>
        <v>243.89999999999998</v>
      </c>
      <c r="AC6" s="118">
        <v>30.8</v>
      </c>
      <c r="AD6" s="116">
        <v>77.8</v>
      </c>
      <c r="AE6" s="116">
        <v>77.8</v>
      </c>
      <c r="AF6" s="117">
        <v>44.9</v>
      </c>
      <c r="AG6" s="101">
        <f>AC6+AD6+AE6+AF6</f>
        <v>231.29999999999998</v>
      </c>
      <c r="AI6" s="640"/>
      <c r="AJ6" s="703"/>
      <c r="AK6" s="703"/>
      <c r="AL6" s="61">
        <v>1216</v>
      </c>
      <c r="AM6" s="61">
        <v>7216</v>
      </c>
      <c r="AN6" s="62">
        <f>'Structural Information'!U6</f>
        <v>3</v>
      </c>
      <c r="AO6" s="62">
        <f>'Structural Information'!T23/1000</f>
        <v>0.25</v>
      </c>
      <c r="AP6" s="119">
        <f t="shared" si="0"/>
        <v>1.29</v>
      </c>
      <c r="AQ6" s="120">
        <f>(0.08*AP6*1000+0.022*'Structural Information'!$AE$18*'Structural Information'!$W$24)/1000</f>
        <v>0.23414400000000002</v>
      </c>
      <c r="AR6" s="121">
        <f>AP6*E88/3</f>
        <v>6.7510000000000001E-3</v>
      </c>
      <c r="AS6" s="122">
        <v>36</v>
      </c>
      <c r="AT6" s="123">
        <f t="shared" si="1"/>
        <v>0.243036</v>
      </c>
      <c r="AU6" s="124">
        <f>AR6+AQ6*(AR6*3/AP6)*(N88-1)</f>
        <v>2.4499115200000001E-2</v>
      </c>
      <c r="AV6" s="125">
        <v>38.799999999999997</v>
      </c>
      <c r="AW6" s="126">
        <f t="shared" si="2"/>
        <v>0.95056566976000001</v>
      </c>
      <c r="AX6" s="127">
        <f>AR6+AQ6*(AR6*3/AP6)*(O88-1)</f>
        <v>6.8565016000000006E-2</v>
      </c>
      <c r="AY6" s="128">
        <v>31</v>
      </c>
      <c r="AZ6" s="129">
        <f t="shared" si="3"/>
        <v>2.1255154960000002</v>
      </c>
      <c r="BB6" s="114">
        <f>'System Capacities'!C34</f>
        <v>4</v>
      </c>
      <c r="BC6" s="674" t="str">
        <f>'System Capacities'!D34</f>
        <v>Column</v>
      </c>
      <c r="BD6" s="675"/>
      <c r="BE6" s="675"/>
      <c r="BF6" s="676"/>
      <c r="BG6" s="70">
        <f>'System Capacities'!G34</f>
        <v>114.33333333333333</v>
      </c>
      <c r="BH6" s="70">
        <f>'Structural Information'!U8</f>
        <v>3</v>
      </c>
      <c r="BI6" s="87">
        <f>'System Capacities'!I34</f>
        <v>9.015519176800749E-3</v>
      </c>
      <c r="BJ6" s="88">
        <f>'System Capacities'!J34</f>
        <v>4227.278580825473</v>
      </c>
    </row>
    <row r="7" spans="2:71" x14ac:dyDescent="0.25">
      <c r="B7" s="655"/>
      <c r="C7" s="89">
        <v>5113</v>
      </c>
      <c r="D7" s="89" t="s">
        <v>12</v>
      </c>
      <c r="E7" s="90">
        <v>61.6</v>
      </c>
      <c r="F7" s="91">
        <v>120</v>
      </c>
      <c r="G7" s="90">
        <v>66.3</v>
      </c>
      <c r="H7" s="91">
        <v>129.19999999999999</v>
      </c>
      <c r="I7" s="92">
        <v>53.1</v>
      </c>
      <c r="J7" s="93">
        <v>103.4</v>
      </c>
      <c r="K7" s="92">
        <v>6.6</v>
      </c>
      <c r="L7" s="93">
        <v>12.9</v>
      </c>
      <c r="M7" s="94"/>
      <c r="N7" s="94"/>
      <c r="O7" s="95"/>
      <c r="Q7" s="699" t="s">
        <v>73</v>
      </c>
      <c r="R7" s="700"/>
      <c r="S7" s="701"/>
      <c r="T7" s="701"/>
      <c r="U7" s="701"/>
      <c r="V7" s="701"/>
      <c r="W7" s="700"/>
      <c r="X7" s="701"/>
      <c r="Y7" s="701"/>
      <c r="Z7" s="701"/>
      <c r="AA7" s="701"/>
      <c r="AB7" s="700"/>
      <c r="AC7" s="701"/>
      <c r="AD7" s="701"/>
      <c r="AE7" s="701"/>
      <c r="AF7" s="701"/>
      <c r="AG7" s="702"/>
      <c r="AI7" s="640"/>
      <c r="AJ7" s="703"/>
      <c r="AK7" s="703"/>
      <c r="AL7" s="61">
        <v>1316</v>
      </c>
      <c r="AM7" s="61">
        <v>7316</v>
      </c>
      <c r="AN7" s="62">
        <f>'Structural Information'!U6</f>
        <v>3</v>
      </c>
      <c r="AO7" s="62">
        <f>'Structural Information'!T23/1000</f>
        <v>0.25</v>
      </c>
      <c r="AP7" s="119">
        <f t="shared" si="0"/>
        <v>1.29</v>
      </c>
      <c r="AQ7" s="120">
        <f>(0.08*AP7*1000+0.022*'Structural Information'!$AE$18*'Structural Information'!$W$24)/1000</f>
        <v>0.23414400000000002</v>
      </c>
      <c r="AR7" s="121">
        <f>AP7*E94/3</f>
        <v>6.7510000000000001E-3</v>
      </c>
      <c r="AS7" s="122">
        <v>36</v>
      </c>
      <c r="AT7" s="123">
        <f t="shared" si="1"/>
        <v>0.243036</v>
      </c>
      <c r="AU7" s="124">
        <f>AR7+AQ7*(AR7*3/AP7)*(N94-1)</f>
        <v>2.4499115200000001E-2</v>
      </c>
      <c r="AV7" s="125">
        <v>38.799999999999997</v>
      </c>
      <c r="AW7" s="126">
        <f t="shared" si="2"/>
        <v>0.95056566976000001</v>
      </c>
      <c r="AX7" s="127">
        <f>AR7+AQ7*(AR7*3/AP7)*(O94-1)</f>
        <v>6.8565016000000006E-2</v>
      </c>
      <c r="AY7" s="128">
        <v>31</v>
      </c>
      <c r="AZ7" s="129">
        <f t="shared" si="3"/>
        <v>2.1255154960000002</v>
      </c>
      <c r="BB7" s="114">
        <f>'System Capacities'!C35</f>
        <v>3</v>
      </c>
      <c r="BC7" s="674" t="str">
        <f>'System Capacities'!D35</f>
        <v>Column</v>
      </c>
      <c r="BD7" s="675"/>
      <c r="BE7" s="675"/>
      <c r="BF7" s="676"/>
      <c r="BG7" s="70">
        <f>'System Capacities'!G35</f>
        <v>154.19999999999999</v>
      </c>
      <c r="BH7" s="70">
        <f>'Structural Information'!U9</f>
        <v>3</v>
      </c>
      <c r="BI7" s="87">
        <f>'System Capacities'!I35</f>
        <v>8.5822017391304368E-3</v>
      </c>
      <c r="BJ7" s="88">
        <f>'System Capacities'!J35</f>
        <v>5989.1391000100084</v>
      </c>
    </row>
    <row r="8" spans="2:71" x14ac:dyDescent="0.25">
      <c r="B8" s="655"/>
      <c r="C8" s="89">
        <v>5114</v>
      </c>
      <c r="D8" s="89" t="s">
        <v>12</v>
      </c>
      <c r="E8" s="90">
        <v>61.6</v>
      </c>
      <c r="F8" s="91">
        <v>120</v>
      </c>
      <c r="G8" s="90">
        <v>66.3</v>
      </c>
      <c r="H8" s="91">
        <v>129.19999999999999</v>
      </c>
      <c r="I8" s="92">
        <v>53.1</v>
      </c>
      <c r="J8" s="93">
        <v>103.4</v>
      </c>
      <c r="K8" s="92">
        <v>6.6</v>
      </c>
      <c r="L8" s="93">
        <v>12.9</v>
      </c>
      <c r="M8" s="94"/>
      <c r="N8" s="94"/>
      <c r="O8" s="95"/>
      <c r="Q8" s="640" t="s">
        <v>9</v>
      </c>
      <c r="R8" s="590"/>
      <c r="S8" s="590">
        <v>4</v>
      </c>
      <c r="T8" s="590"/>
      <c r="U8" s="590"/>
      <c r="V8" s="590"/>
      <c r="W8" s="590"/>
      <c r="X8" s="590">
        <v>5</v>
      </c>
      <c r="Y8" s="590"/>
      <c r="Z8" s="590"/>
      <c r="AA8" s="590"/>
      <c r="AB8" s="590"/>
      <c r="AC8" s="590">
        <v>6</v>
      </c>
      <c r="AD8" s="590"/>
      <c r="AE8" s="590"/>
      <c r="AF8" s="590"/>
      <c r="AG8" s="704"/>
      <c r="AI8" s="640"/>
      <c r="AJ8" s="703"/>
      <c r="AK8" s="703"/>
      <c r="AL8" s="130">
        <v>1416</v>
      </c>
      <c r="AM8" s="130">
        <v>7416</v>
      </c>
      <c r="AN8" s="131">
        <f>'Structural Information'!U6</f>
        <v>3</v>
      </c>
      <c r="AO8" s="131">
        <f>'Structural Information'!T23/1000</f>
        <v>0.25</v>
      </c>
      <c r="AP8" s="132">
        <f t="shared" si="0"/>
        <v>1.29</v>
      </c>
      <c r="AQ8" s="133">
        <f>(0.08*AP8*1000+0.022*'Structural Information'!$AE$18*'Structural Information'!$W$24)/1000</f>
        <v>0.23414400000000002</v>
      </c>
      <c r="AR8" s="134">
        <f>AP8*E100/3</f>
        <v>6.7510000000000001E-3</v>
      </c>
      <c r="AS8" s="116">
        <v>30.8</v>
      </c>
      <c r="AT8" s="135">
        <f t="shared" si="1"/>
        <v>0.2079308</v>
      </c>
      <c r="AU8" s="136">
        <f>AR8+AQ8*(AR8*3/AP8)*(N100-1)</f>
        <v>2.4311800000000001E-2</v>
      </c>
      <c r="AV8" s="137">
        <v>33.1</v>
      </c>
      <c r="AW8" s="138">
        <f t="shared" si="2"/>
        <v>0.80472058000000013</v>
      </c>
      <c r="AX8" s="139">
        <f>AR8+AQ8*(AR8*3/AP8)*(O100-1)</f>
        <v>6.8728916799999998E-2</v>
      </c>
      <c r="AY8" s="140">
        <v>26.5</v>
      </c>
      <c r="AZ8" s="141">
        <f t="shared" si="3"/>
        <v>1.8213162951999999</v>
      </c>
      <c r="BB8" s="114">
        <f>'System Capacities'!C36</f>
        <v>2</v>
      </c>
      <c r="BC8" s="674" t="str">
        <f>'System Capacities'!D36</f>
        <v>Column</v>
      </c>
      <c r="BD8" s="675"/>
      <c r="BE8" s="675"/>
      <c r="BF8" s="676"/>
      <c r="BG8" s="70">
        <f>'System Capacities'!G36</f>
        <v>162.6</v>
      </c>
      <c r="BH8" s="70">
        <f>'Structural Information'!U10</f>
        <v>3</v>
      </c>
      <c r="BI8" s="87">
        <f>'System Capacities'!I36</f>
        <v>6.7523273096129852E-3</v>
      </c>
      <c r="BJ8" s="88">
        <f>'System Capacities'!J36</f>
        <v>8026.8620750711962</v>
      </c>
    </row>
    <row r="9" spans="2:71" ht="16.5" thickBot="1" x14ac:dyDescent="0.3">
      <c r="B9" s="655"/>
      <c r="C9" s="89">
        <v>5115</v>
      </c>
      <c r="D9" s="89" t="s">
        <v>12</v>
      </c>
      <c r="E9" s="90">
        <v>61.6</v>
      </c>
      <c r="F9" s="91">
        <v>120</v>
      </c>
      <c r="G9" s="90">
        <v>66.3</v>
      </c>
      <c r="H9" s="91">
        <v>129.19999999999999</v>
      </c>
      <c r="I9" s="92">
        <v>53.1</v>
      </c>
      <c r="J9" s="93">
        <v>103.4</v>
      </c>
      <c r="K9" s="92">
        <v>6.6</v>
      </c>
      <c r="L9" s="93">
        <v>12.9</v>
      </c>
      <c r="M9" s="94"/>
      <c r="N9" s="94"/>
      <c r="O9" s="95"/>
      <c r="Q9" s="640" t="s">
        <v>42</v>
      </c>
      <c r="R9" s="590"/>
      <c r="S9" s="82" t="s">
        <v>55</v>
      </c>
      <c r="T9" s="82" t="s">
        <v>56</v>
      </c>
      <c r="U9" s="82" t="s">
        <v>57</v>
      </c>
      <c r="V9" s="82" t="s">
        <v>58</v>
      </c>
      <c r="W9" s="83" t="s">
        <v>62</v>
      </c>
      <c r="X9" s="82" t="s">
        <v>65</v>
      </c>
      <c r="Y9" s="82" t="s">
        <v>66</v>
      </c>
      <c r="Z9" s="82" t="s">
        <v>67</v>
      </c>
      <c r="AA9" s="82" t="s">
        <v>68</v>
      </c>
      <c r="AB9" s="83" t="s">
        <v>62</v>
      </c>
      <c r="AC9" s="82" t="s">
        <v>69</v>
      </c>
      <c r="AD9" s="82" t="s">
        <v>70</v>
      </c>
      <c r="AE9" s="82" t="s">
        <v>71</v>
      </c>
      <c r="AF9" s="82" t="s">
        <v>72</v>
      </c>
      <c r="AG9" s="84" t="s">
        <v>62</v>
      </c>
      <c r="AI9" s="640">
        <v>5</v>
      </c>
      <c r="AJ9" s="703" t="s">
        <v>42</v>
      </c>
      <c r="AK9" s="703"/>
      <c r="AL9" s="61">
        <v>1115</v>
      </c>
      <c r="AM9" s="61">
        <v>7116</v>
      </c>
      <c r="AN9" s="62">
        <f>'Structural Information'!U7</f>
        <v>3</v>
      </c>
      <c r="AO9" s="62">
        <f>'Structural Information'!T23/1000</f>
        <v>0.25</v>
      </c>
      <c r="AP9" s="104">
        <f t="shared" si="0"/>
        <v>1.29</v>
      </c>
      <c r="AQ9" s="105">
        <f>(0.08*AP9*1000+0.022*'Structural Information'!$AE$18*'Structural Information'!$W$24)/1000</f>
        <v>0.23414400000000002</v>
      </c>
      <c r="AR9" s="142">
        <f>AP9*'Structural Information'!$AE$24/AO9</f>
        <v>9.5976000000000013E-3</v>
      </c>
      <c r="AS9" s="143">
        <v>36.4</v>
      </c>
      <c r="AT9" s="144">
        <f t="shared" si="1"/>
        <v>0.34935264000000005</v>
      </c>
      <c r="AU9" s="145">
        <f>AR9</f>
        <v>9.5976000000000013E-3</v>
      </c>
      <c r="AV9" s="143">
        <f>AS9</f>
        <v>36.4</v>
      </c>
      <c r="AW9" s="146">
        <f t="shared" si="2"/>
        <v>0.34935264000000005</v>
      </c>
      <c r="AX9" s="147">
        <f>AR9</f>
        <v>9.5976000000000013E-3</v>
      </c>
      <c r="AY9" s="143">
        <f>AS9</f>
        <v>36.4</v>
      </c>
      <c r="AZ9" s="148">
        <f t="shared" si="3"/>
        <v>0.34935264000000005</v>
      </c>
      <c r="BB9" s="149">
        <f>'System Capacities'!C37</f>
        <v>1</v>
      </c>
      <c r="BC9" s="754" t="str">
        <f>'System Capacities'!D37</f>
        <v>Column</v>
      </c>
      <c r="BD9" s="755"/>
      <c r="BE9" s="755"/>
      <c r="BF9" s="756"/>
      <c r="BG9" s="150">
        <f>'System Capacities'!G37</f>
        <v>247.23636363636362</v>
      </c>
      <c r="BH9" s="150">
        <f>'Structural Information'!U11</f>
        <v>2.75</v>
      </c>
      <c r="BI9" s="151">
        <f>'System Capacities'!I37</f>
        <v>5.3120868684138484E-3</v>
      </c>
      <c r="BJ9" s="152">
        <f>'System Capacities'!J37</f>
        <v>16924.446918589209</v>
      </c>
    </row>
    <row r="10" spans="2:71" ht="16.5" thickBot="1" x14ac:dyDescent="0.3">
      <c r="B10" s="656"/>
      <c r="C10" s="130">
        <v>5116</v>
      </c>
      <c r="D10" s="130" t="s">
        <v>12</v>
      </c>
      <c r="E10" s="153">
        <v>61.6</v>
      </c>
      <c r="F10" s="154">
        <v>120</v>
      </c>
      <c r="G10" s="153">
        <v>66.3</v>
      </c>
      <c r="H10" s="154">
        <v>129.19999999999999</v>
      </c>
      <c r="I10" s="155">
        <v>53.1</v>
      </c>
      <c r="J10" s="156">
        <v>103.4</v>
      </c>
      <c r="K10" s="155">
        <v>6.6</v>
      </c>
      <c r="L10" s="156">
        <v>12.9</v>
      </c>
      <c r="M10" s="157"/>
      <c r="N10" s="157"/>
      <c r="O10" s="158"/>
      <c r="Q10" s="640" t="s">
        <v>61</v>
      </c>
      <c r="R10" s="593"/>
      <c r="S10" s="96">
        <v>30.8</v>
      </c>
      <c r="T10" s="100">
        <v>49.6</v>
      </c>
      <c r="U10" s="100">
        <v>49.6</v>
      </c>
      <c r="V10" s="98">
        <v>41.5</v>
      </c>
      <c r="W10" s="99">
        <f>S10+T10+U10+V10</f>
        <v>171.5</v>
      </c>
      <c r="X10" s="96">
        <v>30.8</v>
      </c>
      <c r="Y10" s="100">
        <v>44.7</v>
      </c>
      <c r="Z10" s="100">
        <v>44.7</v>
      </c>
      <c r="AA10" s="98">
        <v>36.4</v>
      </c>
      <c r="AB10" s="99">
        <f>X10+Y10+Z10+AA10</f>
        <v>156.6</v>
      </c>
      <c r="AC10" s="159">
        <v>30.6</v>
      </c>
      <c r="AD10" s="100">
        <v>36</v>
      </c>
      <c r="AE10" s="100">
        <v>36</v>
      </c>
      <c r="AF10" s="98">
        <v>30.8</v>
      </c>
      <c r="AG10" s="101">
        <f>AC10+AD10+AE10+AF10</f>
        <v>133.4</v>
      </c>
      <c r="AI10" s="640"/>
      <c r="AJ10" s="703"/>
      <c r="AK10" s="703"/>
      <c r="AL10" s="61">
        <v>1215</v>
      </c>
      <c r="AM10" s="61">
        <v>7216</v>
      </c>
      <c r="AN10" s="62">
        <f>'Structural Information'!U7</f>
        <v>3</v>
      </c>
      <c r="AO10" s="62">
        <f>'Structural Information'!T23/1000</f>
        <v>0.25</v>
      </c>
      <c r="AP10" s="119">
        <f t="shared" si="0"/>
        <v>1.29</v>
      </c>
      <c r="AQ10" s="120">
        <f>(0.08*AP10*1000+0.022*'Structural Information'!$AE$18*'Structural Information'!$W$24)/1000</f>
        <v>0.23414400000000002</v>
      </c>
      <c r="AR10" s="121">
        <f>AP10*'Structural Information'!$AE$24/AO10</f>
        <v>9.5976000000000013E-3</v>
      </c>
      <c r="AS10" s="122">
        <v>44.7</v>
      </c>
      <c r="AT10" s="123">
        <f t="shared" si="1"/>
        <v>0.42901272000000007</v>
      </c>
      <c r="AU10" s="124">
        <f>AR10+AQ10*(AR10*3/AP10)*(N87-1)</f>
        <v>3.729256990165606E-2</v>
      </c>
      <c r="AV10" s="125">
        <v>48.1</v>
      </c>
      <c r="AW10" s="126">
        <f t="shared" si="2"/>
        <v>1.7937726122696565</v>
      </c>
      <c r="AX10" s="127">
        <f>AR10+AQ10*(AR10*3/AP10)*(O87-1)</f>
        <v>7.0879378352101938E-2</v>
      </c>
      <c r="AY10" s="128">
        <v>38.5</v>
      </c>
      <c r="AZ10" s="129">
        <f t="shared" si="3"/>
        <v>2.7288560665559247</v>
      </c>
    </row>
    <row r="11" spans="2:71" ht="16.5" customHeight="1" thickBot="1" x14ac:dyDescent="0.3">
      <c r="B11" s="657">
        <v>2</v>
      </c>
      <c r="C11" s="102">
        <v>5211</v>
      </c>
      <c r="D11" s="102" t="s">
        <v>12</v>
      </c>
      <c r="E11" s="160">
        <v>61.6</v>
      </c>
      <c r="F11" s="161">
        <v>120</v>
      </c>
      <c r="G11" s="160">
        <v>66.3</v>
      </c>
      <c r="H11" s="161">
        <v>129.19999999999999</v>
      </c>
      <c r="I11" s="162">
        <v>53.1</v>
      </c>
      <c r="J11" s="163">
        <v>103.4</v>
      </c>
      <c r="K11" s="162">
        <v>6.6</v>
      </c>
      <c r="L11" s="163">
        <v>12.9</v>
      </c>
      <c r="M11" s="164"/>
      <c r="N11" s="164"/>
      <c r="O11" s="165"/>
      <c r="Q11" s="641" t="s">
        <v>60</v>
      </c>
      <c r="R11" s="642"/>
      <c r="S11" s="166">
        <v>30.8</v>
      </c>
      <c r="T11" s="167">
        <v>49.6</v>
      </c>
      <c r="U11" s="167">
        <v>49.6</v>
      </c>
      <c r="V11" s="168">
        <v>41.5</v>
      </c>
      <c r="W11" s="169">
        <f>S11+T11+U11+V11</f>
        <v>171.5</v>
      </c>
      <c r="X11" s="166">
        <f>S10</f>
        <v>30.8</v>
      </c>
      <c r="Y11" s="167">
        <v>44.7</v>
      </c>
      <c r="Z11" s="167">
        <v>44.7</v>
      </c>
      <c r="AA11" s="168">
        <v>36.4</v>
      </c>
      <c r="AB11" s="169">
        <f>X11+Y11+Z11+AA11</f>
        <v>156.6</v>
      </c>
      <c r="AC11" s="170">
        <v>30.6</v>
      </c>
      <c r="AD11" s="167">
        <v>36</v>
      </c>
      <c r="AE11" s="167">
        <v>36</v>
      </c>
      <c r="AF11" s="168">
        <v>30.8</v>
      </c>
      <c r="AG11" s="171">
        <f>AC11+AD11+AE11+AF11</f>
        <v>133.4</v>
      </c>
      <c r="AI11" s="640"/>
      <c r="AJ11" s="703"/>
      <c r="AK11" s="703"/>
      <c r="AL11" s="61">
        <v>1315</v>
      </c>
      <c r="AM11" s="61">
        <v>7316</v>
      </c>
      <c r="AN11" s="62">
        <f>'Structural Information'!U7</f>
        <v>3</v>
      </c>
      <c r="AO11" s="62">
        <f>'Structural Information'!T23/1000</f>
        <v>0.25</v>
      </c>
      <c r="AP11" s="119">
        <f t="shared" si="0"/>
        <v>1.29</v>
      </c>
      <c r="AQ11" s="120">
        <f>(0.08*AP11*1000+0.022*'Structural Information'!$AE$18*'Structural Information'!$W$24)/1000</f>
        <v>0.23414400000000002</v>
      </c>
      <c r="AR11" s="121">
        <f>AP11*'Structural Information'!$AE$24/AO11</f>
        <v>9.5976000000000013E-3</v>
      </c>
      <c r="AS11" s="122">
        <v>44.7</v>
      </c>
      <c r="AT11" s="123">
        <f t="shared" si="1"/>
        <v>0.42901272000000007</v>
      </c>
      <c r="AU11" s="124">
        <f>AR11+AQ11*(AR11*3/AP11)*(N93-1)</f>
        <v>3.729256990165606E-2</v>
      </c>
      <c r="AV11" s="125">
        <v>48.1</v>
      </c>
      <c r="AW11" s="126">
        <f t="shared" si="2"/>
        <v>1.7937726122696565</v>
      </c>
      <c r="AX11" s="127">
        <f>AR11+AQ11*(AR11*3/AP11)*(O93-1)</f>
        <v>7.0879378352101938E-2</v>
      </c>
      <c r="AY11" s="128">
        <v>38.5</v>
      </c>
      <c r="AZ11" s="129">
        <f t="shared" si="3"/>
        <v>2.7288560665559247</v>
      </c>
      <c r="BB11" s="733" t="s">
        <v>327</v>
      </c>
      <c r="BC11" s="734"/>
      <c r="BD11" s="734"/>
      <c r="BE11" s="734"/>
      <c r="BF11" s="734"/>
      <c r="BG11" s="2"/>
      <c r="BH11" s="735" t="s">
        <v>328</v>
      </c>
      <c r="BI11" s="736"/>
      <c r="BJ11" s="736"/>
      <c r="BK11" s="736"/>
      <c r="BL11" s="736"/>
      <c r="BM11" s="3"/>
      <c r="BN11" s="759" t="s">
        <v>326</v>
      </c>
      <c r="BO11" s="759"/>
      <c r="BP11" s="759"/>
      <c r="BQ11" s="759"/>
      <c r="BR11" s="759"/>
      <c r="BS11" s="760"/>
    </row>
    <row r="12" spans="2:71" ht="16.5" thickBot="1" x14ac:dyDescent="0.3">
      <c r="B12" s="655"/>
      <c r="C12" s="89">
        <v>5212</v>
      </c>
      <c r="D12" s="89" t="s">
        <v>12</v>
      </c>
      <c r="E12" s="90">
        <v>61.6</v>
      </c>
      <c r="F12" s="91">
        <v>120</v>
      </c>
      <c r="G12" s="90">
        <v>66.3</v>
      </c>
      <c r="H12" s="91">
        <v>129.19999999999999</v>
      </c>
      <c r="I12" s="92">
        <v>53.1</v>
      </c>
      <c r="J12" s="93">
        <v>103.4</v>
      </c>
      <c r="K12" s="92">
        <v>6.6</v>
      </c>
      <c r="L12" s="93">
        <v>12.9</v>
      </c>
      <c r="M12" s="94"/>
      <c r="N12" s="94"/>
      <c r="O12" s="95"/>
      <c r="AI12" s="640"/>
      <c r="AJ12" s="703"/>
      <c r="AK12" s="703"/>
      <c r="AL12" s="61">
        <v>1415</v>
      </c>
      <c r="AM12" s="61">
        <v>7416</v>
      </c>
      <c r="AN12" s="62">
        <f>'Structural Information'!U7</f>
        <v>3</v>
      </c>
      <c r="AO12" s="62">
        <f>'Structural Information'!T23/1000</f>
        <v>0.25</v>
      </c>
      <c r="AP12" s="132">
        <f t="shared" si="0"/>
        <v>1.29</v>
      </c>
      <c r="AQ12" s="133">
        <f>(0.08*AP12*1000+0.022*'Structural Information'!$AE$18*'Structural Information'!$W$24)/1000</f>
        <v>0.23414400000000002</v>
      </c>
      <c r="AR12" s="121">
        <f>AP12*'Structural Information'!$AE$24/AO12</f>
        <v>9.5976000000000013E-3</v>
      </c>
      <c r="AS12" s="122">
        <v>36.4</v>
      </c>
      <c r="AT12" s="123">
        <f t="shared" si="1"/>
        <v>0.34935264000000005</v>
      </c>
      <c r="AU12" s="136">
        <f>AR12+AQ12*(AR12*3/AP12)*(N99-1)</f>
        <v>3.5628208729681532E-2</v>
      </c>
      <c r="AV12" s="125">
        <v>39.200000000000003</v>
      </c>
      <c r="AW12" s="126">
        <f t="shared" si="2"/>
        <v>1.3966257822035162</v>
      </c>
      <c r="AX12" s="139">
        <f>AR12+AQ12*(AR12*3/AP12)*(O99-1)</f>
        <v>9.6643689294267532E-2</v>
      </c>
      <c r="AY12" s="128">
        <v>31.3</v>
      </c>
      <c r="AZ12" s="129">
        <f t="shared" si="3"/>
        <v>3.024947474910574</v>
      </c>
      <c r="BB12" s="737" t="s">
        <v>217</v>
      </c>
      <c r="BC12" s="739" t="s">
        <v>213</v>
      </c>
      <c r="BD12" s="741" t="s">
        <v>214</v>
      </c>
      <c r="BE12" s="741" t="s">
        <v>215</v>
      </c>
      <c r="BF12" s="741" t="s">
        <v>216</v>
      </c>
      <c r="BG12" s="741" t="s">
        <v>441</v>
      </c>
      <c r="BH12" s="743" t="s">
        <v>249</v>
      </c>
      <c r="BI12" s="745" t="s">
        <v>213</v>
      </c>
      <c r="BJ12" s="747" t="s">
        <v>214</v>
      </c>
      <c r="BK12" s="747" t="s">
        <v>215</v>
      </c>
      <c r="BL12" s="747" t="s">
        <v>216</v>
      </c>
      <c r="BM12" s="757" t="s">
        <v>441</v>
      </c>
      <c r="BN12" s="749" t="s">
        <v>329</v>
      </c>
      <c r="BO12" s="772" t="s">
        <v>213</v>
      </c>
      <c r="BP12" s="774" t="s">
        <v>214</v>
      </c>
      <c r="BQ12" s="774" t="s">
        <v>215</v>
      </c>
      <c r="BR12" s="774" t="s">
        <v>216</v>
      </c>
      <c r="BS12" s="761" t="s">
        <v>441</v>
      </c>
    </row>
    <row r="13" spans="2:71" x14ac:dyDescent="0.25">
      <c r="B13" s="655"/>
      <c r="C13" s="89">
        <v>5213</v>
      </c>
      <c r="D13" s="89" t="s">
        <v>12</v>
      </c>
      <c r="E13" s="90">
        <v>61.6</v>
      </c>
      <c r="F13" s="91">
        <v>120</v>
      </c>
      <c r="G13" s="90">
        <v>66.3</v>
      </c>
      <c r="H13" s="91">
        <v>129.19999999999999</v>
      </c>
      <c r="I13" s="92">
        <v>53.1</v>
      </c>
      <c r="J13" s="93">
        <v>103.4</v>
      </c>
      <c r="K13" s="92">
        <v>6.6</v>
      </c>
      <c r="L13" s="93">
        <v>12.9</v>
      </c>
      <c r="M13" s="94"/>
      <c r="N13" s="94"/>
      <c r="O13" s="95"/>
      <c r="Q13" s="708" t="s">
        <v>230</v>
      </c>
      <c r="R13" s="709"/>
      <c r="S13" s="709"/>
      <c r="T13" s="709"/>
      <c r="U13" s="709"/>
      <c r="V13" s="709"/>
      <c r="W13" s="709"/>
      <c r="X13" s="709"/>
      <c r="Y13" s="709"/>
      <c r="Z13" s="709"/>
      <c r="AA13" s="709"/>
      <c r="AB13" s="709"/>
      <c r="AC13" s="709"/>
      <c r="AD13" s="709"/>
      <c r="AE13" s="709"/>
      <c r="AF13" s="709"/>
      <c r="AG13" s="710"/>
      <c r="AI13" s="640">
        <v>4</v>
      </c>
      <c r="AJ13" s="703" t="s">
        <v>42</v>
      </c>
      <c r="AK13" s="703"/>
      <c r="AL13" s="102">
        <v>1114</v>
      </c>
      <c r="AM13" s="102">
        <v>7115</v>
      </c>
      <c r="AN13" s="103">
        <f>'Structural Information'!U8</f>
        <v>3</v>
      </c>
      <c r="AO13" s="103">
        <f>'Structural Information'!T23/1000</f>
        <v>0.25</v>
      </c>
      <c r="AP13" s="104">
        <f t="shared" si="0"/>
        <v>1.29</v>
      </c>
      <c r="AQ13" s="105">
        <f>(0.08*AP13*1000+0.022*'Structural Information'!$AE$18*'Structural Information'!$W$24)/1000</f>
        <v>0.23414400000000002</v>
      </c>
      <c r="AR13" s="147">
        <f>AP13*'Structural Information'!$AE$24/AO13</f>
        <v>9.5976000000000013E-3</v>
      </c>
      <c r="AS13" s="97">
        <v>41.5</v>
      </c>
      <c r="AT13" s="172">
        <f t="shared" si="1"/>
        <v>0.39830040000000005</v>
      </c>
      <c r="AU13" s="145">
        <f>AR13</f>
        <v>9.5976000000000013E-3</v>
      </c>
      <c r="AV13" s="97">
        <f>AS13</f>
        <v>41.5</v>
      </c>
      <c r="AW13" s="173">
        <f t="shared" si="2"/>
        <v>0.39830040000000005</v>
      </c>
      <c r="AX13" s="147">
        <f>AR13</f>
        <v>9.5976000000000013E-3</v>
      </c>
      <c r="AY13" s="97">
        <f>AS13</f>
        <v>41.5</v>
      </c>
      <c r="AZ13" s="174">
        <f t="shared" si="3"/>
        <v>0.39830040000000005</v>
      </c>
      <c r="BB13" s="738"/>
      <c r="BC13" s="740"/>
      <c r="BD13" s="742"/>
      <c r="BE13" s="742"/>
      <c r="BF13" s="742"/>
      <c r="BG13" s="742"/>
      <c r="BH13" s="744"/>
      <c r="BI13" s="746"/>
      <c r="BJ13" s="748"/>
      <c r="BK13" s="748"/>
      <c r="BL13" s="748"/>
      <c r="BM13" s="758"/>
      <c r="BN13" s="750"/>
      <c r="BO13" s="773"/>
      <c r="BP13" s="775"/>
      <c r="BQ13" s="775"/>
      <c r="BR13" s="775"/>
      <c r="BS13" s="762"/>
    </row>
    <row r="14" spans="2:71" x14ac:dyDescent="0.25">
      <c r="B14" s="655"/>
      <c r="C14" s="89">
        <v>5214</v>
      </c>
      <c r="D14" s="89" t="s">
        <v>12</v>
      </c>
      <c r="E14" s="90">
        <v>61.6</v>
      </c>
      <c r="F14" s="91">
        <v>120</v>
      </c>
      <c r="G14" s="90">
        <v>66.3</v>
      </c>
      <c r="H14" s="91">
        <v>129.19999999999999</v>
      </c>
      <c r="I14" s="92">
        <v>53.1</v>
      </c>
      <c r="J14" s="93">
        <v>103.4</v>
      </c>
      <c r="K14" s="92">
        <v>6.6</v>
      </c>
      <c r="L14" s="93">
        <v>12.9</v>
      </c>
      <c r="M14" s="94"/>
      <c r="N14" s="94"/>
      <c r="O14" s="95"/>
      <c r="Q14" s="640" t="s">
        <v>9</v>
      </c>
      <c r="R14" s="590"/>
      <c r="S14" s="590">
        <v>1</v>
      </c>
      <c r="T14" s="590"/>
      <c r="U14" s="590"/>
      <c r="V14" s="590"/>
      <c r="W14" s="590"/>
      <c r="X14" s="590">
        <v>2</v>
      </c>
      <c r="Y14" s="590"/>
      <c r="Z14" s="590"/>
      <c r="AA14" s="590"/>
      <c r="AB14" s="590"/>
      <c r="AC14" s="590">
        <v>3</v>
      </c>
      <c r="AD14" s="590"/>
      <c r="AE14" s="590"/>
      <c r="AF14" s="590"/>
      <c r="AG14" s="704"/>
      <c r="AI14" s="640"/>
      <c r="AJ14" s="703"/>
      <c r="AK14" s="703"/>
      <c r="AL14" s="61">
        <v>1214</v>
      </c>
      <c r="AM14" s="61">
        <v>7215</v>
      </c>
      <c r="AN14" s="62">
        <f>'Structural Information'!U8</f>
        <v>3</v>
      </c>
      <c r="AO14" s="62">
        <f>'Structural Information'!T23/1000</f>
        <v>0.25</v>
      </c>
      <c r="AP14" s="119">
        <f t="shared" si="0"/>
        <v>1.29</v>
      </c>
      <c r="AQ14" s="120">
        <f>(0.08*AP14*1000+0.022*'Structural Information'!$AE$18*'Structural Information'!$W$24)/1000</f>
        <v>0.23414400000000002</v>
      </c>
      <c r="AR14" s="121">
        <f>AP14*'Structural Information'!$AE$24/AO14</f>
        <v>9.5976000000000013E-3</v>
      </c>
      <c r="AS14" s="122">
        <v>49.6</v>
      </c>
      <c r="AT14" s="123">
        <f t="shared" si="1"/>
        <v>0.47604096000000007</v>
      </c>
      <c r="AU14" s="124">
        <f>AR14+AQ14*(AR14*3/AP14)*(N86-1)</f>
        <v>3.7758591029808927E-2</v>
      </c>
      <c r="AV14" s="125">
        <v>53.4</v>
      </c>
      <c r="AW14" s="126">
        <f t="shared" si="2"/>
        <v>2.0163087609917967</v>
      </c>
      <c r="AX14" s="127">
        <f>AR14+AQ14*(AR14*3/AP14)*(O86-1)</f>
        <v>6.0726775203057345E-2</v>
      </c>
      <c r="AY14" s="128">
        <v>42.7</v>
      </c>
      <c r="AZ14" s="129">
        <f t="shared" si="3"/>
        <v>2.5930333011705486</v>
      </c>
      <c r="BB14" s="48" t="s">
        <v>347</v>
      </c>
      <c r="BC14" s="72">
        <f>(AG10+AG11)/$BH4</f>
        <v>88.933333333333337</v>
      </c>
      <c r="BD14" s="72">
        <f>(AG21+AG22)/$BH4</f>
        <v>95.866666666666674</v>
      </c>
      <c r="BE14" s="72">
        <f>(AG32+AG33)/$BH4</f>
        <v>76.666666666666671</v>
      </c>
      <c r="BF14" s="72">
        <f>(AG43+AG44)/$BH4</f>
        <v>9.6</v>
      </c>
      <c r="BG14" s="73">
        <f>BF14</f>
        <v>9.6</v>
      </c>
      <c r="BH14" s="74" t="s">
        <v>317</v>
      </c>
      <c r="BI14" s="72">
        <f t="shared" ref="BI14:BI19" si="4">(BC14)/((BO14)*$BH4)</f>
        <v>3566.500150238754</v>
      </c>
      <c r="BJ14" s="72">
        <f t="shared" ref="BJ14:BK19" si="5">(BD14-BC14)/((BP14-BO14)*$BH4)</f>
        <v>117.24860312314878</v>
      </c>
      <c r="BK14" s="72">
        <f t="shared" si="5"/>
        <v>-175.91737236644391</v>
      </c>
      <c r="BL14" s="72">
        <f>BK14</f>
        <v>-175.91737236644391</v>
      </c>
      <c r="BM14" s="72">
        <v>0</v>
      </c>
      <c r="BN14" s="74" t="s">
        <v>353</v>
      </c>
      <c r="BO14" s="63">
        <f>(SUM(AT5:AT8)+SUM(AT9:AT12))/(SUM(AS5:AS8)+SUM(AS9:AS12))</f>
        <v>8.3119145368492249E-3</v>
      </c>
      <c r="BP14" s="63">
        <f>(SUM(AW5:AW8)+SUM(AW9:AW12))/(SUM(AV5:AV8)+SUM(AV9:AV12))</f>
        <v>2.8023118334166125E-2</v>
      </c>
      <c r="BQ14" s="63">
        <f>(SUM(AZ5:AZ8)+SUM(AZ9:AZ12))/(SUM(AY5:AY8)+SUM(AY9:AY12))</f>
        <v>6.4403834541480257E-2</v>
      </c>
      <c r="BR14" s="63">
        <f>BP14-((BD14-BF14)/(BK14*BH4))</f>
        <v>0.19148369740452892</v>
      </c>
      <c r="BS14" s="22">
        <v>0.2</v>
      </c>
    </row>
    <row r="15" spans="2:71" x14ac:dyDescent="0.25">
      <c r="B15" s="655"/>
      <c r="C15" s="89">
        <v>5215</v>
      </c>
      <c r="D15" s="89" t="s">
        <v>12</v>
      </c>
      <c r="E15" s="90">
        <v>61.6</v>
      </c>
      <c r="F15" s="91">
        <v>120</v>
      </c>
      <c r="G15" s="90">
        <v>66.3</v>
      </c>
      <c r="H15" s="91">
        <v>129.19999999999999</v>
      </c>
      <c r="I15" s="92">
        <v>53.1</v>
      </c>
      <c r="J15" s="93">
        <v>103.4</v>
      </c>
      <c r="K15" s="92">
        <v>6.6</v>
      </c>
      <c r="L15" s="93">
        <v>12.9</v>
      </c>
      <c r="M15" s="94"/>
      <c r="N15" s="94"/>
      <c r="O15" s="95"/>
      <c r="Q15" s="640" t="s">
        <v>42</v>
      </c>
      <c r="R15" s="590"/>
      <c r="S15" s="82" t="s">
        <v>43</v>
      </c>
      <c r="T15" s="82" t="s">
        <v>44</v>
      </c>
      <c r="U15" s="82" t="s">
        <v>45</v>
      </c>
      <c r="V15" s="82" t="s">
        <v>46</v>
      </c>
      <c r="W15" s="83" t="s">
        <v>62</v>
      </c>
      <c r="X15" s="82" t="s">
        <v>47</v>
      </c>
      <c r="Y15" s="82" t="s">
        <v>48</v>
      </c>
      <c r="Z15" s="82" t="s">
        <v>49</v>
      </c>
      <c r="AA15" s="82" t="s">
        <v>50</v>
      </c>
      <c r="AB15" s="83" t="s">
        <v>62</v>
      </c>
      <c r="AC15" s="82" t="s">
        <v>51</v>
      </c>
      <c r="AD15" s="82" t="s">
        <v>52</v>
      </c>
      <c r="AE15" s="82" t="s">
        <v>53</v>
      </c>
      <c r="AF15" s="82" t="s">
        <v>54</v>
      </c>
      <c r="AG15" s="84" t="s">
        <v>62</v>
      </c>
      <c r="AI15" s="640"/>
      <c r="AJ15" s="703"/>
      <c r="AK15" s="703"/>
      <c r="AL15" s="61">
        <v>1314</v>
      </c>
      <c r="AM15" s="61">
        <v>7315</v>
      </c>
      <c r="AN15" s="62">
        <f>'Structural Information'!U8</f>
        <v>3</v>
      </c>
      <c r="AO15" s="62">
        <f>'Structural Information'!T23/1000</f>
        <v>0.25</v>
      </c>
      <c r="AP15" s="119">
        <f t="shared" si="0"/>
        <v>1.29</v>
      </c>
      <c r="AQ15" s="120">
        <f>(0.08*AP15*1000+0.022*'Structural Information'!$AE$18*'Structural Information'!$W$24)/1000</f>
        <v>0.23414400000000002</v>
      </c>
      <c r="AR15" s="121">
        <f>AP15*'Structural Information'!$AE$24/AO15</f>
        <v>9.5976000000000013E-3</v>
      </c>
      <c r="AS15" s="122">
        <v>49.6</v>
      </c>
      <c r="AT15" s="123">
        <f t="shared" si="1"/>
        <v>0.47604096000000007</v>
      </c>
      <c r="AU15" s="124">
        <f>AR15+AQ15*(AR15*3/AP15)*(N92-1)</f>
        <v>3.7758591029808927E-2</v>
      </c>
      <c r="AV15" s="125">
        <v>53.4</v>
      </c>
      <c r="AW15" s="126">
        <f t="shared" si="2"/>
        <v>2.0163087609917967</v>
      </c>
      <c r="AX15" s="127">
        <f>AR15+AQ15*(AR15*3/AP15)*(O92-1)</f>
        <v>6.0726775203057345E-2</v>
      </c>
      <c r="AY15" s="128">
        <v>42.7</v>
      </c>
      <c r="AZ15" s="129">
        <f t="shared" si="3"/>
        <v>2.5930333011705486</v>
      </c>
      <c r="BB15" s="48" t="s">
        <v>348</v>
      </c>
      <c r="BC15" s="72">
        <f>(AB10+AB11)/$BH5</f>
        <v>104.39999999999999</v>
      </c>
      <c r="BD15" s="72">
        <f>(AB21+AB22)/$BH5</f>
        <v>112.36666666666667</v>
      </c>
      <c r="BE15" s="72">
        <f>(AB32+AB33)/$BH5</f>
        <v>89.916666666666671</v>
      </c>
      <c r="BF15" s="72">
        <f>(AB43+AB44)/$BH5</f>
        <v>11.199999999999998</v>
      </c>
      <c r="BG15" s="73">
        <f>BF15</f>
        <v>11.199999999999998</v>
      </c>
      <c r="BH15" s="74" t="s">
        <v>318</v>
      </c>
      <c r="BI15" s="72">
        <f t="shared" si="4"/>
        <v>3625.9064766191536</v>
      </c>
      <c r="BJ15" s="72">
        <f t="shared" si="5"/>
        <v>120.04174932124162</v>
      </c>
      <c r="BK15" s="72">
        <f t="shared" si="5"/>
        <v>-300.74348991890503</v>
      </c>
      <c r="BL15" s="72">
        <f t="shared" ref="BL15:BL19" si="6">BK15</f>
        <v>-300.74348991890503</v>
      </c>
      <c r="BM15" s="72">
        <v>0</v>
      </c>
      <c r="BN15" s="74" t="s">
        <v>354</v>
      </c>
      <c r="BO15" s="63">
        <f>(SUM(AT9:AT12)+SUM(AT13:AT16))/(SUM(AS9:AS12)+SUM(AS13:AS16))</f>
        <v>9.597600000000003E-3</v>
      </c>
      <c r="BP15" s="63">
        <f>(SUM(AW9:AW12)+SUM(AW13:AW16))/(SUM(AV9:AV12)+SUM(AV13:AV16))</f>
        <v>3.1719533165511238E-2</v>
      </c>
      <c r="BQ15" s="63">
        <f>(SUM(AZ9:AZ12)+SUM(AZ13:AZ16))/(SUM(AY9:AY12)+SUM(AY13:AY16))</f>
        <v>5.6602310629293419E-2</v>
      </c>
      <c r="BR15" s="63">
        <f t="shared" ref="BR15:BR19" si="7">BP15-((BD15-BF15)/(BK15*BH5))</f>
        <v>0.14384905002160464</v>
      </c>
      <c r="BS15" s="22">
        <v>0.2</v>
      </c>
    </row>
    <row r="16" spans="2:71" x14ac:dyDescent="0.25">
      <c r="B16" s="656"/>
      <c r="C16" s="130">
        <v>5216</v>
      </c>
      <c r="D16" s="130" t="s">
        <v>12</v>
      </c>
      <c r="E16" s="153">
        <v>61.6</v>
      </c>
      <c r="F16" s="154">
        <v>120</v>
      </c>
      <c r="G16" s="153">
        <v>66.3</v>
      </c>
      <c r="H16" s="154">
        <v>129.19999999999999</v>
      </c>
      <c r="I16" s="155">
        <v>53.1</v>
      </c>
      <c r="J16" s="156">
        <v>103.4</v>
      </c>
      <c r="K16" s="155">
        <v>6.6</v>
      </c>
      <c r="L16" s="156">
        <v>12.9</v>
      </c>
      <c r="M16" s="157"/>
      <c r="N16" s="157"/>
      <c r="O16" s="158"/>
      <c r="Q16" s="640" t="s">
        <v>61</v>
      </c>
      <c r="R16" s="593"/>
      <c r="S16" s="96">
        <v>33.15</v>
      </c>
      <c r="T16" s="97">
        <v>106.3</v>
      </c>
      <c r="U16" s="97">
        <v>106.3</v>
      </c>
      <c r="V16" s="175">
        <v>64.599999999999994</v>
      </c>
      <c r="W16" s="99">
        <f>S16+T16+U16+V16</f>
        <v>310.35000000000002</v>
      </c>
      <c r="X16" s="96">
        <v>33.15</v>
      </c>
      <c r="Y16" s="100">
        <v>86.5</v>
      </c>
      <c r="Z16" s="100">
        <v>86.5</v>
      </c>
      <c r="AA16" s="175">
        <v>51.1</v>
      </c>
      <c r="AB16" s="99">
        <f>X16+Y16+Z16+AA16</f>
        <v>257.25</v>
      </c>
      <c r="AC16" s="96">
        <v>33.15</v>
      </c>
      <c r="AD16" s="109">
        <v>83.8</v>
      </c>
      <c r="AE16" s="109">
        <v>83.8</v>
      </c>
      <c r="AF16" s="175">
        <v>48.4</v>
      </c>
      <c r="AG16" s="101">
        <f>AC16+AD16+AE16+AF16</f>
        <v>249.15</v>
      </c>
      <c r="AI16" s="640"/>
      <c r="AJ16" s="703"/>
      <c r="AK16" s="703"/>
      <c r="AL16" s="130">
        <v>1414</v>
      </c>
      <c r="AM16" s="130">
        <v>7415</v>
      </c>
      <c r="AN16" s="131">
        <f>'Structural Information'!U8</f>
        <v>3</v>
      </c>
      <c r="AO16" s="131">
        <f>'Structural Information'!T23/1000</f>
        <v>0.25</v>
      </c>
      <c r="AP16" s="132">
        <f t="shared" si="0"/>
        <v>1.29</v>
      </c>
      <c r="AQ16" s="133">
        <f>(0.08*AP16*1000+0.022*'Structural Information'!$AE$18*'Structural Information'!$W$24)/1000</f>
        <v>0.23414400000000002</v>
      </c>
      <c r="AR16" s="134">
        <f>AP16*'Structural Information'!$AE$24/AO16</f>
        <v>9.5976000000000013E-3</v>
      </c>
      <c r="AS16" s="116">
        <v>41.5</v>
      </c>
      <c r="AT16" s="135">
        <f t="shared" si="1"/>
        <v>0.39830040000000005</v>
      </c>
      <c r="AU16" s="136">
        <f>AR16+AQ16*(AR16*3/AP16)*(N98-1)</f>
        <v>4.0421568904968161E-2</v>
      </c>
      <c r="AV16" s="137">
        <v>44.7</v>
      </c>
      <c r="AW16" s="138">
        <f t="shared" si="2"/>
        <v>1.806844130052077</v>
      </c>
      <c r="AX16" s="139">
        <f>AR16+AQ16*(AR16*3/AP16)*(O98-1)</f>
        <v>8.3328799918471363E-2</v>
      </c>
      <c r="AY16" s="140">
        <v>35.799999999999997</v>
      </c>
      <c r="AZ16" s="141">
        <f t="shared" si="3"/>
        <v>2.9831710370812745</v>
      </c>
      <c r="BB16" s="48" t="s">
        <v>349</v>
      </c>
      <c r="BC16" s="72">
        <f>(W10+W11)/$BH6</f>
        <v>114.33333333333333</v>
      </c>
      <c r="BD16" s="72">
        <f>(W21+W22)/$BH6</f>
        <v>123.09999999999998</v>
      </c>
      <c r="BE16" s="72">
        <f>(W32+W33)/$BH6</f>
        <v>98.5</v>
      </c>
      <c r="BF16" s="72">
        <f>(W43+W44)/$BH6</f>
        <v>12.266666666666666</v>
      </c>
      <c r="BG16" s="73">
        <f>BF16</f>
        <v>12.266666666666666</v>
      </c>
      <c r="BH16" s="74" t="s">
        <v>319</v>
      </c>
      <c r="BI16" s="72">
        <f t="shared" si="4"/>
        <v>4227.278580825473</v>
      </c>
      <c r="BJ16" s="72">
        <f t="shared" si="5"/>
        <v>140.45390210298984</v>
      </c>
      <c r="BK16" s="72">
        <f t="shared" si="5"/>
        <v>-433.95749491108933</v>
      </c>
      <c r="BL16" s="72">
        <f t="shared" si="6"/>
        <v>-433.95749491108933</v>
      </c>
      <c r="BM16" s="72">
        <v>0</v>
      </c>
      <c r="BN16" s="74" t="s">
        <v>355</v>
      </c>
      <c r="BO16" s="63">
        <f>(SUM(AT13:AT16)+SUM(AT17:AT20))/(SUM(AS13:AS16)+SUM(AS17:AS20))</f>
        <v>9.015519176800749E-3</v>
      </c>
      <c r="BP16" s="63">
        <f>(SUM(AW13:AW16)+SUM(AW17:AW20))/(SUM(AV13:AV16)+SUM(AV17:AV20))</f>
        <v>2.9821080136434718E-2</v>
      </c>
      <c r="BQ16" s="63">
        <f>(SUM(AZ13:AZ16)+SUM(AZ17:AZ20))/(SUM(AY13:AY16)+SUM(AY17:AY20))</f>
        <v>4.8716939975610989E-2</v>
      </c>
      <c r="BR16" s="63">
        <f t="shared" si="7"/>
        <v>0.11495486599722216</v>
      </c>
      <c r="BS16" s="22">
        <v>0.2</v>
      </c>
    </row>
    <row r="17" spans="2:71" x14ac:dyDescent="0.25">
      <c r="B17" s="657">
        <v>3</v>
      </c>
      <c r="C17" s="102">
        <v>5311</v>
      </c>
      <c r="D17" s="102" t="s">
        <v>12</v>
      </c>
      <c r="E17" s="160">
        <v>61.6</v>
      </c>
      <c r="F17" s="161">
        <v>120</v>
      </c>
      <c r="G17" s="160">
        <v>66.3</v>
      </c>
      <c r="H17" s="161">
        <v>129.19999999999999</v>
      </c>
      <c r="I17" s="162">
        <v>53.1</v>
      </c>
      <c r="J17" s="163">
        <v>103.4</v>
      </c>
      <c r="K17" s="162">
        <v>6.6</v>
      </c>
      <c r="L17" s="163">
        <v>12.9</v>
      </c>
      <c r="M17" s="164"/>
      <c r="N17" s="164"/>
      <c r="O17" s="165"/>
      <c r="Q17" s="640" t="s">
        <v>60</v>
      </c>
      <c r="R17" s="593"/>
      <c r="S17" s="176">
        <v>76.8</v>
      </c>
      <c r="T17" s="137">
        <v>128</v>
      </c>
      <c r="U17" s="137">
        <v>128</v>
      </c>
      <c r="V17" s="177">
        <v>76.8</v>
      </c>
      <c r="W17" s="99">
        <f>S17+T17+U17+V17</f>
        <v>409.6</v>
      </c>
      <c r="X17" s="118">
        <v>33.15</v>
      </c>
      <c r="Y17" s="137">
        <v>89.2</v>
      </c>
      <c r="Z17" s="137">
        <v>89.2</v>
      </c>
      <c r="AA17" s="177">
        <v>51.1</v>
      </c>
      <c r="AB17" s="99">
        <f>X17+Y17+Z17+AA17</f>
        <v>262.65000000000003</v>
      </c>
      <c r="AC17" s="118">
        <v>33.15</v>
      </c>
      <c r="AD17" s="137">
        <v>83.8</v>
      </c>
      <c r="AE17" s="137">
        <v>83.8</v>
      </c>
      <c r="AF17" s="177">
        <v>48.4</v>
      </c>
      <c r="AG17" s="101">
        <f>AC17+AD17+AE17+AF17</f>
        <v>249.15</v>
      </c>
      <c r="AI17" s="640">
        <v>3</v>
      </c>
      <c r="AJ17" s="703" t="s">
        <v>42</v>
      </c>
      <c r="AK17" s="703"/>
      <c r="AL17" s="61">
        <v>1113</v>
      </c>
      <c r="AM17" s="61">
        <v>7114</v>
      </c>
      <c r="AN17" s="62">
        <f>'Structural Information'!U9</f>
        <v>3</v>
      </c>
      <c r="AO17" s="62">
        <f>'Structural Information'!T23/1000</f>
        <v>0.25</v>
      </c>
      <c r="AP17" s="104">
        <f t="shared" si="0"/>
        <v>1.29</v>
      </c>
      <c r="AQ17" s="105">
        <f>(0.08*AP17*1000+0.022*'Structural Information'!$AE$18*'Structural Information'!$W$24)/1000</f>
        <v>0.23414400000000002</v>
      </c>
      <c r="AR17" s="147">
        <f>AP17*'Structural Information'!$AE$24/AO17</f>
        <v>9.5976000000000013E-3</v>
      </c>
      <c r="AS17" s="143">
        <v>44.9</v>
      </c>
      <c r="AT17" s="144">
        <f t="shared" si="1"/>
        <v>0.43093224000000002</v>
      </c>
      <c r="AU17" s="145">
        <f>AR17</f>
        <v>9.5976000000000013E-3</v>
      </c>
      <c r="AV17" s="143">
        <f>AS17</f>
        <v>44.9</v>
      </c>
      <c r="AW17" s="146">
        <f t="shared" si="2"/>
        <v>0.43093224000000002</v>
      </c>
      <c r="AX17" s="147">
        <f>AR17</f>
        <v>9.5976000000000013E-3</v>
      </c>
      <c r="AY17" s="143">
        <f>AS17</f>
        <v>44.9</v>
      </c>
      <c r="AZ17" s="148">
        <f t="shared" si="3"/>
        <v>0.43093224000000002</v>
      </c>
      <c r="BB17" s="48" t="s">
        <v>350</v>
      </c>
      <c r="BC17" s="72">
        <f>(AG5+AG6)/$BH7</f>
        <v>154.19999999999999</v>
      </c>
      <c r="BD17" s="72">
        <f>(AG16+AG17)/$BH7</f>
        <v>166.1</v>
      </c>
      <c r="BE17" s="72">
        <f>(AG27+AG28)/$BH7</f>
        <v>132.83333333333334</v>
      </c>
      <c r="BF17" s="72">
        <f>(AG38+AG39)/$BH7</f>
        <v>16.600000000000001</v>
      </c>
      <c r="BG17" s="73">
        <f t="shared" ref="BG17:BG19" si="8">BF17</f>
        <v>16.600000000000001</v>
      </c>
      <c r="BH17" s="74" t="s">
        <v>320</v>
      </c>
      <c r="BI17" s="72">
        <f t="shared" si="4"/>
        <v>5989.1391000100084</v>
      </c>
      <c r="BJ17" s="72">
        <f t="shared" si="5"/>
        <v>194.51213545262391</v>
      </c>
      <c r="BK17" s="72">
        <f t="shared" si="5"/>
        <v>-1080.7687428804379</v>
      </c>
      <c r="BL17" s="72">
        <f t="shared" si="6"/>
        <v>-1080.7687428804379</v>
      </c>
      <c r="BM17" s="72">
        <v>0</v>
      </c>
      <c r="BN17" s="74" t="s">
        <v>356</v>
      </c>
      <c r="BO17" s="63">
        <f>(SUM(AT17:AT20)+SUM(AT21:AT24))/(SUM(AS17:AS20)+SUM(AS21:AS24))</f>
        <v>8.5822017391304368E-3</v>
      </c>
      <c r="BP17" s="63">
        <f>(SUM(AW17:AW20)+SUM(AW21:AW24))/(SUM(AV17:AV20)+SUM(AV21:AV24))</f>
        <v>2.8975102456796992E-2</v>
      </c>
      <c r="BQ17" s="63">
        <f>(SUM(AZ17:AZ20)+SUM(AZ21:AZ24))/(SUM(AY17:AY20)+SUM(AY21:AY24))</f>
        <v>3.9235288978600957E-2</v>
      </c>
      <c r="BR17" s="63">
        <f t="shared" si="7"/>
        <v>7.5084257316807818E-2</v>
      </c>
      <c r="BS17" s="22">
        <v>0.2</v>
      </c>
    </row>
    <row r="18" spans="2:71" x14ac:dyDescent="0.25">
      <c r="B18" s="655"/>
      <c r="C18" s="89">
        <v>5312</v>
      </c>
      <c r="D18" s="89" t="s">
        <v>12</v>
      </c>
      <c r="E18" s="90">
        <v>61.6</v>
      </c>
      <c r="F18" s="91">
        <v>120</v>
      </c>
      <c r="G18" s="90">
        <v>66.3</v>
      </c>
      <c r="H18" s="91">
        <v>129.19999999999999</v>
      </c>
      <c r="I18" s="92">
        <v>53.1</v>
      </c>
      <c r="J18" s="93">
        <v>103.4</v>
      </c>
      <c r="K18" s="92">
        <v>6.6</v>
      </c>
      <c r="L18" s="93">
        <v>12.9</v>
      </c>
      <c r="M18" s="94"/>
      <c r="N18" s="94"/>
      <c r="O18" s="95"/>
      <c r="Q18" s="711" t="s">
        <v>73</v>
      </c>
      <c r="R18" s="712"/>
      <c r="S18" s="713"/>
      <c r="T18" s="713"/>
      <c r="U18" s="713"/>
      <c r="V18" s="713"/>
      <c r="W18" s="712"/>
      <c r="X18" s="713"/>
      <c r="Y18" s="713"/>
      <c r="Z18" s="713"/>
      <c r="AA18" s="713"/>
      <c r="AB18" s="712"/>
      <c r="AC18" s="713"/>
      <c r="AD18" s="713"/>
      <c r="AE18" s="713"/>
      <c r="AF18" s="713"/>
      <c r="AG18" s="714"/>
      <c r="AI18" s="640"/>
      <c r="AJ18" s="703"/>
      <c r="AK18" s="703"/>
      <c r="AL18" s="61">
        <v>1213</v>
      </c>
      <c r="AM18" s="61">
        <v>7214</v>
      </c>
      <c r="AN18" s="62">
        <f>'Structural Information'!U9</f>
        <v>3</v>
      </c>
      <c r="AO18" s="62">
        <f>'Structural Information'!T28/1000</f>
        <v>0.3</v>
      </c>
      <c r="AP18" s="119">
        <f t="shared" si="0"/>
        <v>1.29</v>
      </c>
      <c r="AQ18" s="120">
        <f>(0.08*AP18*1000+0.022*'Structural Information'!$AE$18*'Structural Information'!$W$24)/1000</f>
        <v>0.23414400000000002</v>
      </c>
      <c r="AR18" s="121">
        <f>AP18*'Structural Information'!$AE$24/AO18</f>
        <v>7.9980000000000016E-3</v>
      </c>
      <c r="AS18" s="122">
        <v>77.8</v>
      </c>
      <c r="AT18" s="123">
        <f t="shared" si="1"/>
        <v>0.62224440000000014</v>
      </c>
      <c r="AU18" s="124">
        <f>AR18+AQ18*(AR18*3/AP18)*(N85-1)</f>
        <v>3.030940164923078E-2</v>
      </c>
      <c r="AV18" s="125">
        <v>83.8</v>
      </c>
      <c r="AW18" s="126">
        <f t="shared" si="2"/>
        <v>2.5399278582055391</v>
      </c>
      <c r="AX18" s="127">
        <f>AR18+AQ18*(AR18*3/AP18)*(O85-1)</f>
        <v>5.0878771938461548E-2</v>
      </c>
      <c r="AY18" s="128">
        <v>67</v>
      </c>
      <c r="AZ18" s="129">
        <f t="shared" si="3"/>
        <v>3.4088777198769238</v>
      </c>
      <c r="BB18" s="48" t="s">
        <v>351</v>
      </c>
      <c r="BC18" s="72">
        <f>(AB5+AB6)/$BH8</f>
        <v>162.6</v>
      </c>
      <c r="BD18" s="72">
        <f>(AB16+AB17)/$BH8</f>
        <v>173.30000000000004</v>
      </c>
      <c r="BE18" s="72">
        <f>(AB27+AB28)/$BH8</f>
        <v>159.23333333333332</v>
      </c>
      <c r="BF18" s="72">
        <f>(AB38+AB39)/$BH8</f>
        <v>60.033333333333339</v>
      </c>
      <c r="BG18" s="73">
        <f t="shared" si="8"/>
        <v>60.033333333333339</v>
      </c>
      <c r="BH18" s="74" t="s">
        <v>321</v>
      </c>
      <c r="BI18" s="72">
        <f t="shared" si="4"/>
        <v>8026.8620750711962</v>
      </c>
      <c r="BJ18" s="72">
        <f t="shared" si="5"/>
        <v>317.95984570095158</v>
      </c>
      <c r="BK18" s="72">
        <f t="shared" si="5"/>
        <v>-1598.1623795621101</v>
      </c>
      <c r="BL18" s="72">
        <f t="shared" si="6"/>
        <v>-1598.1623795621101</v>
      </c>
      <c r="BM18" s="72">
        <v>0</v>
      </c>
      <c r="BN18" s="74" t="s">
        <v>357</v>
      </c>
      <c r="BO18" s="63">
        <f>(SUM(AT21:AT24)+SUM(AT25:AT28))/(SUM(AS21:AS24)+SUM(AS25:AS28))</f>
        <v>6.7523273096129852E-3</v>
      </c>
      <c r="BP18" s="63">
        <f>(SUM(AW21:AW24)+SUM(AW25:AW28))/(SUM(AV21:AV24)+SUM(AV25:AV28))</f>
        <v>1.7969676653848146E-2</v>
      </c>
      <c r="BQ18" s="63">
        <f>(SUM(AZ21:AZ24)+SUM(AZ25:AZ28))/(SUM(AY21:AY24)+SUM(AY25:AY28))</f>
        <v>2.090360185997998E-2</v>
      </c>
      <c r="BR18" s="63">
        <f t="shared" si="7"/>
        <v>4.1594031749667901E-2</v>
      </c>
      <c r="BS18" s="22">
        <v>0.2</v>
      </c>
    </row>
    <row r="19" spans="2:71" ht="16.5" thickBot="1" x14ac:dyDescent="0.3">
      <c r="B19" s="655"/>
      <c r="C19" s="89">
        <v>5313</v>
      </c>
      <c r="D19" s="89" t="s">
        <v>12</v>
      </c>
      <c r="E19" s="90">
        <v>61.6</v>
      </c>
      <c r="F19" s="91">
        <v>120</v>
      </c>
      <c r="G19" s="90">
        <v>66.3</v>
      </c>
      <c r="H19" s="91">
        <v>129.19999999999999</v>
      </c>
      <c r="I19" s="92">
        <v>53.1</v>
      </c>
      <c r="J19" s="93">
        <v>103.4</v>
      </c>
      <c r="K19" s="92">
        <v>6.6</v>
      </c>
      <c r="L19" s="93">
        <v>12.9</v>
      </c>
      <c r="M19" s="94"/>
      <c r="N19" s="94"/>
      <c r="O19" s="95"/>
      <c r="Q19" s="640" t="s">
        <v>9</v>
      </c>
      <c r="R19" s="590"/>
      <c r="S19" s="590">
        <v>4</v>
      </c>
      <c r="T19" s="590"/>
      <c r="U19" s="590"/>
      <c r="V19" s="590"/>
      <c r="W19" s="590"/>
      <c r="X19" s="590">
        <v>5</v>
      </c>
      <c r="Y19" s="590"/>
      <c r="Z19" s="590"/>
      <c r="AA19" s="590"/>
      <c r="AB19" s="590"/>
      <c r="AC19" s="590">
        <v>6</v>
      </c>
      <c r="AD19" s="590"/>
      <c r="AE19" s="590"/>
      <c r="AF19" s="590"/>
      <c r="AG19" s="704"/>
      <c r="AI19" s="640"/>
      <c r="AJ19" s="703"/>
      <c r="AK19" s="703"/>
      <c r="AL19" s="61">
        <v>1313</v>
      </c>
      <c r="AM19" s="61">
        <v>7314</v>
      </c>
      <c r="AN19" s="62">
        <f>'Structural Information'!U9</f>
        <v>3</v>
      </c>
      <c r="AO19" s="62">
        <f>'Structural Information'!T28/1000</f>
        <v>0.3</v>
      </c>
      <c r="AP19" s="119">
        <f t="shared" si="0"/>
        <v>1.29</v>
      </c>
      <c r="AQ19" s="120">
        <f>(0.08*AP19*1000+0.022*'Structural Information'!$AE$18*'Structural Information'!$W$24)/1000</f>
        <v>0.23414400000000002</v>
      </c>
      <c r="AR19" s="121">
        <f>AP19*'Structural Information'!$AE$24/AO19</f>
        <v>7.9980000000000016E-3</v>
      </c>
      <c r="AS19" s="122">
        <v>77.8</v>
      </c>
      <c r="AT19" s="123">
        <f t="shared" si="1"/>
        <v>0.62224440000000014</v>
      </c>
      <c r="AU19" s="124">
        <f>AR19+AQ19*(AR19*3/AP19)*(N91-1)</f>
        <v>3.030940164923078E-2</v>
      </c>
      <c r="AV19" s="125">
        <v>83.8</v>
      </c>
      <c r="AW19" s="126">
        <f t="shared" si="2"/>
        <v>2.5399278582055391</v>
      </c>
      <c r="AX19" s="127">
        <f>AR19+AQ19*(AR19*3/AP19)*(O91-1)</f>
        <v>5.0878771938461548E-2</v>
      </c>
      <c r="AY19" s="128">
        <v>67</v>
      </c>
      <c r="AZ19" s="129">
        <f t="shared" si="3"/>
        <v>3.4088777198769238</v>
      </c>
      <c r="BB19" s="53" t="s">
        <v>352</v>
      </c>
      <c r="BC19" s="75">
        <f>(W5+W6)/$BH9</f>
        <v>247.23636363636362</v>
      </c>
      <c r="BD19" s="75">
        <f>(W16+W17)/$BH9</f>
        <v>261.8</v>
      </c>
      <c r="BE19" s="75">
        <f>(W27+W28)/$BH9</f>
        <v>213</v>
      </c>
      <c r="BF19" s="75">
        <f>(W38+W39)/$BH9</f>
        <v>26.618181818181821</v>
      </c>
      <c r="BG19" s="76">
        <f t="shared" si="8"/>
        <v>26.618181818181821</v>
      </c>
      <c r="BH19" s="77" t="s">
        <v>322</v>
      </c>
      <c r="BI19" s="75">
        <f t="shared" si="4"/>
        <v>16924.446918589209</v>
      </c>
      <c r="BJ19" s="75">
        <f t="shared" si="5"/>
        <v>593.03453104392634</v>
      </c>
      <c r="BK19" s="75">
        <f t="shared" si="5"/>
        <v>-2528.8642026754537</v>
      </c>
      <c r="BL19" s="75">
        <f t="shared" si="6"/>
        <v>-2528.8642026754537</v>
      </c>
      <c r="BM19" s="75">
        <v>0</v>
      </c>
      <c r="BN19" s="77" t="s">
        <v>358</v>
      </c>
      <c r="BO19" s="78">
        <f>(SUM(AT25:AT28)+SUM(AT29:AT32))/(SUM(AS25:AS28)+SUM(AS29:AS32))</f>
        <v>5.3120868684138484E-3</v>
      </c>
      <c r="BP19" s="78">
        <f>(SUM(AW25:AW28)+SUM(AW29:AW32))/(SUM(AV25:AV28)+SUM(AV29:AV32))</f>
        <v>1.4242203904385879E-2</v>
      </c>
      <c r="BQ19" s="78">
        <f>(SUM(AZ25:AZ28)+SUM(AZ29:AZ32))/(SUM(AY25:AY28)+SUM(AY29:AY32))</f>
        <v>2.1259367786369124E-2</v>
      </c>
      <c r="BR19" s="78">
        <f t="shared" si="7"/>
        <v>4.8060018663496629E-2</v>
      </c>
      <c r="BS19" s="35">
        <v>0.2</v>
      </c>
    </row>
    <row r="20" spans="2:71" ht="16.5" thickBot="1" x14ac:dyDescent="0.3">
      <c r="B20" s="655"/>
      <c r="C20" s="89">
        <v>5314</v>
      </c>
      <c r="D20" s="89" t="s">
        <v>12</v>
      </c>
      <c r="E20" s="90">
        <v>61.6</v>
      </c>
      <c r="F20" s="91">
        <v>120</v>
      </c>
      <c r="G20" s="90">
        <v>66.3</v>
      </c>
      <c r="H20" s="91">
        <v>129.19999999999999</v>
      </c>
      <c r="I20" s="92">
        <v>53.1</v>
      </c>
      <c r="J20" s="93">
        <v>103.4</v>
      </c>
      <c r="K20" s="92">
        <v>6.6</v>
      </c>
      <c r="L20" s="93">
        <v>12.9</v>
      </c>
      <c r="M20" s="94"/>
      <c r="N20" s="94"/>
      <c r="O20" s="95"/>
      <c r="Q20" s="640" t="s">
        <v>42</v>
      </c>
      <c r="R20" s="590"/>
      <c r="S20" s="82" t="s">
        <v>55</v>
      </c>
      <c r="T20" s="82" t="s">
        <v>56</v>
      </c>
      <c r="U20" s="82" t="s">
        <v>57</v>
      </c>
      <c r="V20" s="82" t="s">
        <v>58</v>
      </c>
      <c r="W20" s="83" t="s">
        <v>62</v>
      </c>
      <c r="X20" s="82" t="s">
        <v>65</v>
      </c>
      <c r="Y20" s="82" t="s">
        <v>66</v>
      </c>
      <c r="Z20" s="82" t="s">
        <v>67</v>
      </c>
      <c r="AA20" s="82" t="s">
        <v>68</v>
      </c>
      <c r="AB20" s="83" t="s">
        <v>62</v>
      </c>
      <c r="AC20" s="82" t="s">
        <v>69</v>
      </c>
      <c r="AD20" s="82" t="s">
        <v>70</v>
      </c>
      <c r="AE20" s="82" t="s">
        <v>71</v>
      </c>
      <c r="AF20" s="82" t="s">
        <v>72</v>
      </c>
      <c r="AG20" s="84" t="s">
        <v>62</v>
      </c>
      <c r="AI20" s="640"/>
      <c r="AJ20" s="703"/>
      <c r="AK20" s="703"/>
      <c r="AL20" s="61">
        <v>1413</v>
      </c>
      <c r="AM20" s="61">
        <v>7414</v>
      </c>
      <c r="AN20" s="62">
        <f>'Structural Information'!U9</f>
        <v>3</v>
      </c>
      <c r="AO20" s="62">
        <f>'Structural Information'!T23/1000</f>
        <v>0.25</v>
      </c>
      <c r="AP20" s="132">
        <f t="shared" si="0"/>
        <v>1.29</v>
      </c>
      <c r="AQ20" s="133">
        <f>(0.08*AP20*1000+0.022*'Structural Information'!$AE$18*'Structural Information'!$W$24)/1000</f>
        <v>0.23414400000000002</v>
      </c>
      <c r="AR20" s="134">
        <f>AP20*'Structural Information'!$AE$24/AO20</f>
        <v>9.5976000000000013E-3</v>
      </c>
      <c r="AS20" s="122">
        <v>44.9</v>
      </c>
      <c r="AT20" s="123">
        <f t="shared" si="1"/>
        <v>0.43093224000000002</v>
      </c>
      <c r="AU20" s="124">
        <f>AR20+AQ20*(AR20*3/AP20)*(N97-1)</f>
        <v>3.6926410443821667E-2</v>
      </c>
      <c r="AV20" s="125">
        <v>48.4</v>
      </c>
      <c r="AW20" s="126">
        <f t="shared" si="2"/>
        <v>1.7872382654809686</v>
      </c>
      <c r="AX20" s="127">
        <f>AR20+AQ20*(AR20*3/AP20)*(O97-1)</f>
        <v>7.0047197766114663E-2</v>
      </c>
      <c r="AY20" s="128">
        <v>38.700000000000003</v>
      </c>
      <c r="AZ20" s="129">
        <f t="shared" si="3"/>
        <v>2.7108265535486376</v>
      </c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</row>
    <row r="21" spans="2:71" ht="15.75" customHeight="1" thickBot="1" x14ac:dyDescent="0.3">
      <c r="B21" s="655"/>
      <c r="C21" s="89">
        <v>5315</v>
      </c>
      <c r="D21" s="89" t="s">
        <v>12</v>
      </c>
      <c r="E21" s="90">
        <v>61.6</v>
      </c>
      <c r="F21" s="91">
        <v>120</v>
      </c>
      <c r="G21" s="90">
        <v>66.3</v>
      </c>
      <c r="H21" s="91">
        <v>129.19999999999999</v>
      </c>
      <c r="I21" s="92">
        <v>53.1</v>
      </c>
      <c r="J21" s="93">
        <v>103.4</v>
      </c>
      <c r="K21" s="92">
        <v>6.6</v>
      </c>
      <c r="L21" s="93">
        <v>12.9</v>
      </c>
      <c r="M21" s="94"/>
      <c r="N21" s="94"/>
      <c r="O21" s="95"/>
      <c r="Q21" s="640" t="s">
        <v>61</v>
      </c>
      <c r="R21" s="593"/>
      <c r="S21" s="96">
        <v>33.15</v>
      </c>
      <c r="T21" s="109">
        <v>53.4</v>
      </c>
      <c r="U21" s="109">
        <v>53.4</v>
      </c>
      <c r="V21" s="175">
        <v>44.7</v>
      </c>
      <c r="W21" s="99">
        <f>S21+T21+U21+V21</f>
        <v>184.64999999999998</v>
      </c>
      <c r="X21" s="96">
        <v>33.15</v>
      </c>
      <c r="Y21" s="109">
        <v>48.1</v>
      </c>
      <c r="Z21" s="109">
        <v>48.1</v>
      </c>
      <c r="AA21" s="175">
        <v>39.200000000000003</v>
      </c>
      <c r="AB21" s="99">
        <f>X21+Y21+Z21+AA21</f>
        <v>168.55</v>
      </c>
      <c r="AC21" s="178">
        <v>33.1</v>
      </c>
      <c r="AD21" s="109">
        <v>38.799999999999997</v>
      </c>
      <c r="AE21" s="109">
        <v>38.799999999999997</v>
      </c>
      <c r="AF21" s="175">
        <v>33.1</v>
      </c>
      <c r="AG21" s="101">
        <f>AC21+AD21+AE21+AF21</f>
        <v>143.80000000000001</v>
      </c>
      <c r="AI21" s="640">
        <v>2</v>
      </c>
      <c r="AJ21" s="703" t="s">
        <v>42</v>
      </c>
      <c r="AK21" s="703"/>
      <c r="AL21" s="102">
        <v>1112</v>
      </c>
      <c r="AM21" s="102">
        <v>7113</v>
      </c>
      <c r="AN21" s="103">
        <f>'Structural Information'!U10</f>
        <v>3</v>
      </c>
      <c r="AO21" s="103">
        <f>'Structural Information'!T23/1000</f>
        <v>0.25</v>
      </c>
      <c r="AP21" s="104">
        <f t="shared" ref="AP21:AP28" si="9">0.43*AN21</f>
        <v>1.29</v>
      </c>
      <c r="AQ21" s="105">
        <f>(0.08*AP21*1000+0.022*'Structural Information'!$AE$18*'Structural Information'!$W$24)/1000</f>
        <v>0.23414400000000002</v>
      </c>
      <c r="AR21" s="147">
        <f>AP21*'Structural Information'!$AE$24/AO21</f>
        <v>9.5976000000000013E-3</v>
      </c>
      <c r="AS21" s="97">
        <v>47.5</v>
      </c>
      <c r="AT21" s="173">
        <f t="shared" si="1"/>
        <v>0.45588600000000007</v>
      </c>
      <c r="AU21" s="147">
        <f>AR21</f>
        <v>9.5976000000000013E-3</v>
      </c>
      <c r="AV21" s="97">
        <f>AS21</f>
        <v>47.5</v>
      </c>
      <c r="AW21" s="172">
        <f t="shared" si="2"/>
        <v>0.45588600000000007</v>
      </c>
      <c r="AX21" s="147">
        <f>AR21</f>
        <v>9.5976000000000013E-3</v>
      </c>
      <c r="AY21" s="97">
        <f>AS21</f>
        <v>47.5</v>
      </c>
      <c r="AZ21" s="174">
        <f t="shared" si="3"/>
        <v>0.45588600000000007</v>
      </c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763" t="s">
        <v>333</v>
      </c>
      <c r="BO21" s="764"/>
      <c r="BP21" s="764"/>
      <c r="BQ21" s="764"/>
      <c r="BR21" s="764"/>
      <c r="BS21" s="765"/>
    </row>
    <row r="22" spans="2:71" ht="16.5" thickBot="1" x14ac:dyDescent="0.3">
      <c r="B22" s="662"/>
      <c r="C22" s="179">
        <v>5316</v>
      </c>
      <c r="D22" s="179" t="s">
        <v>12</v>
      </c>
      <c r="E22" s="180">
        <v>61.6</v>
      </c>
      <c r="F22" s="181">
        <v>120</v>
      </c>
      <c r="G22" s="180">
        <v>66.3</v>
      </c>
      <c r="H22" s="181">
        <v>129.19999999999999</v>
      </c>
      <c r="I22" s="182">
        <v>53.1</v>
      </c>
      <c r="J22" s="183">
        <v>103.4</v>
      </c>
      <c r="K22" s="182">
        <v>6.6</v>
      </c>
      <c r="L22" s="183">
        <v>12.9</v>
      </c>
      <c r="M22" s="184"/>
      <c r="N22" s="184"/>
      <c r="O22" s="185"/>
      <c r="Q22" s="641" t="s">
        <v>60</v>
      </c>
      <c r="R22" s="642"/>
      <c r="S22" s="166">
        <f>AC16</f>
        <v>33.15</v>
      </c>
      <c r="T22" s="186">
        <v>53.4</v>
      </c>
      <c r="U22" s="186">
        <v>53.4</v>
      </c>
      <c r="V22" s="187">
        <v>44.7</v>
      </c>
      <c r="W22" s="169">
        <f>S22+T22+U22+V22</f>
        <v>184.64999999999998</v>
      </c>
      <c r="X22" s="166">
        <f>S21</f>
        <v>33.15</v>
      </c>
      <c r="Y22" s="186">
        <v>48.1</v>
      </c>
      <c r="Z22" s="186">
        <v>48.1</v>
      </c>
      <c r="AA22" s="187">
        <v>39.200000000000003</v>
      </c>
      <c r="AB22" s="169">
        <f>X22+Y22+Z22+AA22</f>
        <v>168.55</v>
      </c>
      <c r="AC22" s="188">
        <v>33.1</v>
      </c>
      <c r="AD22" s="186">
        <v>38.799999999999997</v>
      </c>
      <c r="AE22" s="186">
        <v>38.799999999999997</v>
      </c>
      <c r="AF22" s="187">
        <v>33.1</v>
      </c>
      <c r="AG22" s="171">
        <f>AC22+AD22+AE22+AF22</f>
        <v>143.80000000000001</v>
      </c>
      <c r="AI22" s="640"/>
      <c r="AJ22" s="703"/>
      <c r="AK22" s="703"/>
      <c r="AL22" s="61">
        <v>1212</v>
      </c>
      <c r="AM22" s="61">
        <v>7213</v>
      </c>
      <c r="AN22" s="62">
        <f>'Structural Information'!U10</f>
        <v>3</v>
      </c>
      <c r="AO22" s="62">
        <f>'Structural Information'!T28/1000</f>
        <v>0.3</v>
      </c>
      <c r="AP22" s="119">
        <f t="shared" si="9"/>
        <v>1.29</v>
      </c>
      <c r="AQ22" s="120">
        <f>(0.08*AP22*1000+0.022*'Structural Information'!$AE$18*'Structural Information'!$W$24)/1000</f>
        <v>0.23414400000000002</v>
      </c>
      <c r="AR22" s="121">
        <f>AP22*'Structural Information'!$AE$24/AO22</f>
        <v>7.9980000000000016E-3</v>
      </c>
      <c r="AS22" s="122">
        <v>82.8</v>
      </c>
      <c r="AT22" s="189">
        <f t="shared" si="1"/>
        <v>0.66223440000000011</v>
      </c>
      <c r="AU22" s="121">
        <f>AR22+AQ22*(AR22*3/AP22)*(N84-1)</f>
        <v>3.4228972209230782E-2</v>
      </c>
      <c r="AV22" s="122">
        <v>89.2</v>
      </c>
      <c r="AW22" s="123">
        <f t="shared" si="2"/>
        <v>3.0532243210633858</v>
      </c>
      <c r="AX22" s="190">
        <f>AU22</f>
        <v>3.4228972209230782E-2</v>
      </c>
      <c r="AY22" s="125">
        <f>AV22</f>
        <v>89.2</v>
      </c>
      <c r="AZ22" s="191">
        <f t="shared" si="3"/>
        <v>3.0532243210633858</v>
      </c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731" t="s">
        <v>332</v>
      </c>
      <c r="BO22" s="768" t="s">
        <v>213</v>
      </c>
      <c r="BP22" s="770" t="s">
        <v>214</v>
      </c>
      <c r="BQ22" s="770" t="s">
        <v>215</v>
      </c>
      <c r="BR22" s="770" t="s">
        <v>216</v>
      </c>
      <c r="BS22" s="766" t="s">
        <v>441</v>
      </c>
    </row>
    <row r="23" spans="2:71" ht="16.5" thickBot="1" x14ac:dyDescent="0.3">
      <c r="B23" s="89"/>
      <c r="C23" s="89"/>
      <c r="D23" s="89"/>
      <c r="E23" s="89"/>
      <c r="F23" s="89"/>
      <c r="G23" s="89"/>
      <c r="H23" s="89"/>
      <c r="AI23" s="640"/>
      <c r="AJ23" s="703"/>
      <c r="AK23" s="703"/>
      <c r="AL23" s="61">
        <v>1312</v>
      </c>
      <c r="AM23" s="61">
        <v>7313</v>
      </c>
      <c r="AN23" s="62">
        <f>'Structural Information'!U10</f>
        <v>3</v>
      </c>
      <c r="AO23" s="62">
        <f>'Structural Information'!T28/1000</f>
        <v>0.3</v>
      </c>
      <c r="AP23" s="119">
        <f t="shared" si="9"/>
        <v>1.29</v>
      </c>
      <c r="AQ23" s="120">
        <f>(0.08*AP23*1000+0.022*'Structural Information'!$AE$18*'Structural Information'!$W$24)/1000</f>
        <v>0.23414400000000002</v>
      </c>
      <c r="AR23" s="121">
        <f>AP23*'Structural Information'!$AE$24/AO23</f>
        <v>7.9980000000000016E-3</v>
      </c>
      <c r="AS23" s="122">
        <v>82.8</v>
      </c>
      <c r="AT23" s="189">
        <f t="shared" si="1"/>
        <v>0.66223440000000011</v>
      </c>
      <c r="AU23" s="121">
        <f>AR23+AQ23*(AR23*3/AP23)*(N90-1)</f>
        <v>3.4228972209230782E-2</v>
      </c>
      <c r="AV23" s="122">
        <v>89.2</v>
      </c>
      <c r="AW23" s="123">
        <f t="shared" si="2"/>
        <v>3.0532243210633858</v>
      </c>
      <c r="AX23" s="190">
        <f>AU23</f>
        <v>3.4228972209230782E-2</v>
      </c>
      <c r="AY23" s="125">
        <f>AV23</f>
        <v>89.2</v>
      </c>
      <c r="AZ23" s="191">
        <f t="shared" si="3"/>
        <v>3.0532243210633858</v>
      </c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732"/>
      <c r="BO23" s="769"/>
      <c r="BP23" s="771"/>
      <c r="BQ23" s="771"/>
      <c r="BR23" s="771"/>
      <c r="BS23" s="767"/>
    </row>
    <row r="24" spans="2:71" ht="16.5" thickBot="1" x14ac:dyDescent="0.3">
      <c r="B24" s="663" t="s">
        <v>305</v>
      </c>
      <c r="C24" s="664"/>
      <c r="D24" s="664"/>
      <c r="E24" s="664"/>
      <c r="F24" s="664"/>
      <c r="G24" s="664"/>
      <c r="H24" s="664"/>
      <c r="I24" s="664"/>
      <c r="J24" s="664"/>
      <c r="K24" s="664"/>
      <c r="L24" s="664"/>
      <c r="M24" s="664"/>
      <c r="N24" s="664"/>
      <c r="O24" s="665"/>
      <c r="Q24" s="719" t="s">
        <v>231</v>
      </c>
      <c r="R24" s="720"/>
      <c r="S24" s="720"/>
      <c r="T24" s="720"/>
      <c r="U24" s="720"/>
      <c r="V24" s="720"/>
      <c r="W24" s="720"/>
      <c r="X24" s="720"/>
      <c r="Y24" s="720"/>
      <c r="Z24" s="720"/>
      <c r="AA24" s="720"/>
      <c r="AB24" s="720"/>
      <c r="AC24" s="720"/>
      <c r="AD24" s="720"/>
      <c r="AE24" s="720"/>
      <c r="AF24" s="720"/>
      <c r="AG24" s="721"/>
      <c r="AI24" s="640"/>
      <c r="AJ24" s="703"/>
      <c r="AK24" s="703"/>
      <c r="AL24" s="130">
        <v>1412</v>
      </c>
      <c r="AM24" s="130">
        <v>7413</v>
      </c>
      <c r="AN24" s="131">
        <f>'Structural Information'!U10</f>
        <v>3</v>
      </c>
      <c r="AO24" s="131">
        <f>'Structural Information'!T23/1000</f>
        <v>0.25</v>
      </c>
      <c r="AP24" s="132">
        <f t="shared" si="9"/>
        <v>1.29</v>
      </c>
      <c r="AQ24" s="133">
        <f>(0.08*AP24*1000+0.022*'Structural Information'!$AE$18*'Structural Information'!$W$24)/1000</f>
        <v>0.23414400000000002</v>
      </c>
      <c r="AR24" s="121">
        <f>AP24*'Structural Information'!$AE$24/AO24</f>
        <v>9.5976000000000013E-3</v>
      </c>
      <c r="AS24" s="122">
        <v>47.5</v>
      </c>
      <c r="AT24" s="189">
        <f t="shared" si="1"/>
        <v>0.45588600000000007</v>
      </c>
      <c r="AU24" s="192">
        <f>AR24+AQ24*(AR24*3/AP24)*(N96-1)</f>
        <v>3.3764124217070077E-2</v>
      </c>
      <c r="AV24" s="137">
        <v>51.1</v>
      </c>
      <c r="AW24" s="193">
        <f t="shared" si="2"/>
        <v>1.725346747492281</v>
      </c>
      <c r="AX24" s="139">
        <f>AR24+AQ24*(AR24*3/AP24)*(O96-1)</f>
        <v>6.0726775203057345E-2</v>
      </c>
      <c r="AY24" s="140">
        <v>40.9</v>
      </c>
      <c r="AZ24" s="141">
        <f t="shared" si="3"/>
        <v>2.4837251058050454</v>
      </c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48" t="s">
        <v>435</v>
      </c>
      <c r="BO24" s="62">
        <f>BO14/$BO14</f>
        <v>1</v>
      </c>
      <c r="BP24" s="62">
        <f t="shared" ref="BP24" si="10">BP14/$BO14</f>
        <v>3.3714396616966149</v>
      </c>
      <c r="BQ24" s="62">
        <f>BQ14/$BO14</f>
        <v>7.7483754501996653</v>
      </c>
      <c r="BR24" s="62">
        <f>BR14/$BO14</f>
        <v>23.037255322540183</v>
      </c>
      <c r="BS24" s="194">
        <f>BS14/$BO14</f>
        <v>24.061845091565807</v>
      </c>
    </row>
    <row r="25" spans="2:71" x14ac:dyDescent="0.25">
      <c r="B25" s="654" t="s">
        <v>63</v>
      </c>
      <c r="C25" s="666" t="s">
        <v>32</v>
      </c>
      <c r="D25" s="666" t="s">
        <v>30</v>
      </c>
      <c r="E25" s="660" t="s">
        <v>409</v>
      </c>
      <c r="F25" s="636" t="s">
        <v>408</v>
      </c>
      <c r="G25" s="660" t="s">
        <v>407</v>
      </c>
      <c r="H25" s="636" t="s">
        <v>406</v>
      </c>
      <c r="I25" s="660" t="s">
        <v>405</v>
      </c>
      <c r="J25" s="636" t="s">
        <v>404</v>
      </c>
      <c r="K25" s="660" t="s">
        <v>403</v>
      </c>
      <c r="L25" s="636" t="s">
        <v>402</v>
      </c>
      <c r="M25" s="678" t="s">
        <v>331</v>
      </c>
      <c r="N25" s="680" t="s">
        <v>401</v>
      </c>
      <c r="O25" s="638" t="s">
        <v>400</v>
      </c>
      <c r="Q25" s="640" t="s">
        <v>9</v>
      </c>
      <c r="R25" s="590"/>
      <c r="S25" s="590">
        <v>1</v>
      </c>
      <c r="T25" s="590"/>
      <c r="U25" s="590"/>
      <c r="V25" s="590"/>
      <c r="W25" s="590"/>
      <c r="X25" s="590">
        <v>2</v>
      </c>
      <c r="Y25" s="590"/>
      <c r="Z25" s="590"/>
      <c r="AA25" s="590"/>
      <c r="AB25" s="590"/>
      <c r="AC25" s="590">
        <v>3</v>
      </c>
      <c r="AD25" s="590"/>
      <c r="AE25" s="590"/>
      <c r="AF25" s="590"/>
      <c r="AG25" s="704"/>
      <c r="AI25" s="722">
        <v>1</v>
      </c>
      <c r="AJ25" s="725" t="s">
        <v>42</v>
      </c>
      <c r="AK25" s="726"/>
      <c r="AL25" s="195">
        <v>1111</v>
      </c>
      <c r="AM25" s="102">
        <v>7112</v>
      </c>
      <c r="AN25" s="103">
        <f>'Structural Information'!U11</f>
        <v>2.75</v>
      </c>
      <c r="AO25" s="103">
        <f>'Structural Information'!T28/1000</f>
        <v>0.3</v>
      </c>
      <c r="AP25" s="104">
        <f t="shared" si="9"/>
        <v>1.1824999999999999</v>
      </c>
      <c r="AQ25" s="105">
        <f>(0.08*AP25*1000+0.022*'Structural Information'!$AE$18*'Structural Information'!$W$29)/1000</f>
        <v>0.22554399999999999</v>
      </c>
      <c r="AR25" s="147">
        <f>AP25*'Structural Information'!$AE$24/AO25</f>
        <v>7.3315000000000003E-3</v>
      </c>
      <c r="AS25" s="97">
        <v>71.3</v>
      </c>
      <c r="AT25" s="173">
        <f t="shared" si="1"/>
        <v>0.52273594999999995</v>
      </c>
      <c r="AU25" s="147">
        <f t="shared" ref="AU25:AV27" si="11">AR25</f>
        <v>7.3315000000000003E-3</v>
      </c>
      <c r="AV25" s="97">
        <f t="shared" si="11"/>
        <v>71.3</v>
      </c>
      <c r="AW25" s="172">
        <f t="shared" si="2"/>
        <v>0.52273594999999995</v>
      </c>
      <c r="AX25" s="147">
        <f t="shared" ref="AX25:AY27" si="12">AR25</f>
        <v>7.3315000000000003E-3</v>
      </c>
      <c r="AY25" s="97">
        <f t="shared" si="12"/>
        <v>71.3</v>
      </c>
      <c r="AZ25" s="174">
        <f t="shared" si="3"/>
        <v>0.52273594999999995</v>
      </c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48" t="s">
        <v>436</v>
      </c>
      <c r="BO25" s="62">
        <f t="shared" ref="BO25:BS29" si="13">BO15/$BO15</f>
        <v>1</v>
      </c>
      <c r="BP25" s="62">
        <f t="shared" si="13"/>
        <v>3.3049442741426218</v>
      </c>
      <c r="BQ25" s="62">
        <f t="shared" si="13"/>
        <v>5.8975484109874765</v>
      </c>
      <c r="BR25" s="62">
        <f t="shared" si="13"/>
        <v>14.988023049679565</v>
      </c>
      <c r="BS25" s="194">
        <f t="shared" si="13"/>
        <v>20.838542969075597</v>
      </c>
    </row>
    <row r="26" spans="2:71" ht="16.5" thickBot="1" x14ac:dyDescent="0.3">
      <c r="B26" s="662"/>
      <c r="C26" s="659"/>
      <c r="D26" s="659"/>
      <c r="E26" s="661"/>
      <c r="F26" s="637"/>
      <c r="G26" s="661"/>
      <c r="H26" s="637"/>
      <c r="I26" s="661"/>
      <c r="J26" s="637"/>
      <c r="K26" s="661"/>
      <c r="L26" s="637"/>
      <c r="M26" s="679"/>
      <c r="N26" s="681"/>
      <c r="O26" s="639"/>
      <c r="Q26" s="640" t="s">
        <v>42</v>
      </c>
      <c r="R26" s="590"/>
      <c r="S26" s="82" t="s">
        <v>43</v>
      </c>
      <c r="T26" s="82" t="s">
        <v>44</v>
      </c>
      <c r="U26" s="82" t="s">
        <v>45</v>
      </c>
      <c r="V26" s="82" t="s">
        <v>46</v>
      </c>
      <c r="W26" s="83" t="s">
        <v>62</v>
      </c>
      <c r="X26" s="82" t="s">
        <v>47</v>
      </c>
      <c r="Y26" s="82" t="s">
        <v>48</v>
      </c>
      <c r="Z26" s="82" t="s">
        <v>49</v>
      </c>
      <c r="AA26" s="82" t="s">
        <v>50</v>
      </c>
      <c r="AB26" s="83" t="s">
        <v>62</v>
      </c>
      <c r="AC26" s="82" t="s">
        <v>51</v>
      </c>
      <c r="AD26" s="82" t="s">
        <v>52</v>
      </c>
      <c r="AE26" s="82" t="s">
        <v>53</v>
      </c>
      <c r="AF26" s="82" t="s">
        <v>54</v>
      </c>
      <c r="AG26" s="84" t="s">
        <v>62</v>
      </c>
      <c r="AI26" s="723"/>
      <c r="AJ26" s="727"/>
      <c r="AK26" s="728"/>
      <c r="AL26" s="196">
        <v>1211</v>
      </c>
      <c r="AM26" s="61">
        <v>7212</v>
      </c>
      <c r="AN26" s="62">
        <f>'Structural Information'!U11</f>
        <v>2.75</v>
      </c>
      <c r="AO26" s="62">
        <f>'Structural Information'!T33/1000</f>
        <v>0.5</v>
      </c>
      <c r="AP26" s="119">
        <f t="shared" si="9"/>
        <v>1.1824999999999999</v>
      </c>
      <c r="AQ26" s="120">
        <f>(0.08*AP26*1000+0.022*'Structural Information'!$AE$18*'Structural Information'!$W$34)/1000</f>
        <v>0.24191199999999999</v>
      </c>
      <c r="AR26" s="142">
        <f>AP26*'Structural Information'!$AE$24/AO26</f>
        <v>4.3988999999999999E-3</v>
      </c>
      <c r="AS26" s="143">
        <v>118.8</v>
      </c>
      <c r="AT26" s="146">
        <f t="shared" si="1"/>
        <v>0.52258932000000002</v>
      </c>
      <c r="AU26" s="142">
        <f t="shared" si="11"/>
        <v>4.3988999999999999E-3</v>
      </c>
      <c r="AV26" s="143">
        <f t="shared" si="11"/>
        <v>118.8</v>
      </c>
      <c r="AW26" s="144">
        <f t="shared" si="2"/>
        <v>0.52258932000000002</v>
      </c>
      <c r="AX26" s="142">
        <f t="shared" si="12"/>
        <v>4.3988999999999999E-3</v>
      </c>
      <c r="AY26" s="143">
        <f t="shared" si="12"/>
        <v>118.8</v>
      </c>
      <c r="AZ26" s="148">
        <f t="shared" si="3"/>
        <v>0.52258932000000002</v>
      </c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48" t="s">
        <v>437</v>
      </c>
      <c r="BO26" s="62">
        <f t="shared" si="13"/>
        <v>1</v>
      </c>
      <c r="BP26" s="62">
        <f t="shared" si="13"/>
        <v>3.307749620584473</v>
      </c>
      <c r="BQ26" s="62">
        <f t="shared" si="13"/>
        <v>5.403675486706546</v>
      </c>
      <c r="BR26" s="62">
        <f t="shared" si="13"/>
        <v>12.750776049928506</v>
      </c>
      <c r="BS26" s="194">
        <f t="shared" si="13"/>
        <v>22.183969228821727</v>
      </c>
    </row>
    <row r="27" spans="2:71" x14ac:dyDescent="0.25">
      <c r="B27" s="655">
        <v>1</v>
      </c>
      <c r="C27" s="89">
        <v>5111</v>
      </c>
      <c r="D27" s="89" t="s">
        <v>12</v>
      </c>
      <c r="E27" s="197">
        <v>7.7999999999999996E-3</v>
      </c>
      <c r="F27" s="198">
        <v>7.7999999999999996E-3</v>
      </c>
      <c r="G27" s="197">
        <v>4.53E-2</v>
      </c>
      <c r="H27" s="198">
        <v>4.53E-2</v>
      </c>
      <c r="I27" s="199">
        <v>0.14019999999999999</v>
      </c>
      <c r="J27" s="200">
        <v>0.14019999999999999</v>
      </c>
      <c r="K27" s="199">
        <v>0.47220000000000001</v>
      </c>
      <c r="L27" s="200">
        <v>0.47220000000000001</v>
      </c>
      <c r="M27" s="201">
        <v>0</v>
      </c>
      <c r="N27" s="27">
        <f>G27/E27</f>
        <v>5.8076923076923084</v>
      </c>
      <c r="O27" s="22">
        <f>I27/E27</f>
        <v>17.974358974358974</v>
      </c>
      <c r="Q27" s="640" t="s">
        <v>61</v>
      </c>
      <c r="R27" s="593"/>
      <c r="S27" s="96">
        <v>26.55</v>
      </c>
      <c r="T27" s="97">
        <v>85.1</v>
      </c>
      <c r="U27" s="97">
        <v>85.1</v>
      </c>
      <c r="V27" s="202">
        <v>61.4</v>
      </c>
      <c r="W27" s="99">
        <f>S27+T27+U27+V27</f>
        <v>258.14999999999998</v>
      </c>
      <c r="X27" s="96">
        <v>26.55</v>
      </c>
      <c r="Y27" s="109">
        <v>89.2</v>
      </c>
      <c r="Z27" s="109">
        <v>89.2</v>
      </c>
      <c r="AA27" s="202">
        <v>51.7</v>
      </c>
      <c r="AB27" s="99">
        <f>X27+Y27+Z27+AA27</f>
        <v>256.64999999999998</v>
      </c>
      <c r="AC27" s="96">
        <v>26.55</v>
      </c>
      <c r="AD27" s="112">
        <v>67</v>
      </c>
      <c r="AE27" s="112">
        <v>67</v>
      </c>
      <c r="AF27" s="202">
        <v>38.700000000000003</v>
      </c>
      <c r="AG27" s="101">
        <f>AC27+AD27+AE27+AF27</f>
        <v>199.25</v>
      </c>
      <c r="AI27" s="723"/>
      <c r="AJ27" s="727"/>
      <c r="AK27" s="728"/>
      <c r="AL27" s="196">
        <v>1311</v>
      </c>
      <c r="AM27" s="61">
        <v>7312</v>
      </c>
      <c r="AN27" s="62">
        <f>'Structural Information'!U11</f>
        <v>2.75</v>
      </c>
      <c r="AO27" s="62">
        <f>'Structural Information'!T33/1000</f>
        <v>0.5</v>
      </c>
      <c r="AP27" s="119">
        <f t="shared" si="9"/>
        <v>1.1824999999999999</v>
      </c>
      <c r="AQ27" s="120">
        <f>(0.08*AP27*1000+0.022*'Structural Information'!$AE$18*'Structural Information'!$W$34)/1000</f>
        <v>0.24191199999999999</v>
      </c>
      <c r="AR27" s="142">
        <f>AP27*'Structural Information'!$AE$24/AO27</f>
        <v>4.3988999999999999E-3</v>
      </c>
      <c r="AS27" s="143">
        <v>118.8</v>
      </c>
      <c r="AT27" s="146">
        <f t="shared" si="1"/>
        <v>0.52258932000000002</v>
      </c>
      <c r="AU27" s="142">
        <f t="shared" si="11"/>
        <v>4.3988999999999999E-3</v>
      </c>
      <c r="AV27" s="143">
        <f t="shared" si="11"/>
        <v>118.8</v>
      </c>
      <c r="AW27" s="144">
        <f t="shared" si="2"/>
        <v>0.52258932000000002</v>
      </c>
      <c r="AX27" s="142">
        <f t="shared" si="12"/>
        <v>4.3988999999999999E-3</v>
      </c>
      <c r="AY27" s="143">
        <f t="shared" si="12"/>
        <v>118.8</v>
      </c>
      <c r="AZ27" s="148">
        <f t="shared" si="3"/>
        <v>0.52258932000000002</v>
      </c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48" t="s">
        <v>438</v>
      </c>
      <c r="BO27" s="62">
        <f t="shared" si="13"/>
        <v>1</v>
      </c>
      <c r="BP27" s="62">
        <f t="shared" si="13"/>
        <v>3.3761851955408355</v>
      </c>
      <c r="BQ27" s="62">
        <f t="shared" si="13"/>
        <v>4.5717043447846457</v>
      </c>
      <c r="BR27" s="62">
        <f t="shared" si="13"/>
        <v>8.7488338772627685</v>
      </c>
      <c r="BS27" s="194">
        <f t="shared" si="13"/>
        <v>23.304043190700426</v>
      </c>
    </row>
    <row r="28" spans="2:71" x14ac:dyDescent="0.25">
      <c r="B28" s="655"/>
      <c r="C28" s="89">
        <v>5112</v>
      </c>
      <c r="D28" s="89" t="s">
        <v>12</v>
      </c>
      <c r="E28" s="197">
        <v>7.7999999999999996E-3</v>
      </c>
      <c r="F28" s="198">
        <v>7.7999999999999996E-3</v>
      </c>
      <c r="G28" s="197">
        <v>4.53E-2</v>
      </c>
      <c r="H28" s="198">
        <v>4.53E-2</v>
      </c>
      <c r="I28" s="199">
        <v>0.14019999999999999</v>
      </c>
      <c r="J28" s="200">
        <v>0.14019999999999999</v>
      </c>
      <c r="K28" s="199">
        <v>0.47220000000000001</v>
      </c>
      <c r="L28" s="200">
        <v>0.47220000000000001</v>
      </c>
      <c r="M28" s="201">
        <v>0</v>
      </c>
      <c r="N28" s="27">
        <f>G28/E28</f>
        <v>5.8076923076923084</v>
      </c>
      <c r="O28" s="22">
        <f>I28/E28</f>
        <v>17.974358974358974</v>
      </c>
      <c r="Q28" s="640" t="s">
        <v>60</v>
      </c>
      <c r="R28" s="593"/>
      <c r="S28" s="203">
        <v>61.4</v>
      </c>
      <c r="T28" s="140">
        <v>102.4</v>
      </c>
      <c r="U28" s="140">
        <v>102.4</v>
      </c>
      <c r="V28" s="204">
        <v>61.4</v>
      </c>
      <c r="W28" s="99">
        <f>S28+T28+U28+V28</f>
        <v>327.60000000000002</v>
      </c>
      <c r="X28" s="118">
        <v>26.55</v>
      </c>
      <c r="Y28" s="140">
        <v>71.400000000000006</v>
      </c>
      <c r="Z28" s="140">
        <v>71.400000000000006</v>
      </c>
      <c r="AA28" s="204">
        <v>51.7</v>
      </c>
      <c r="AB28" s="99">
        <f>X28+Y28+Z28+AA28</f>
        <v>221.05</v>
      </c>
      <c r="AC28" s="118">
        <v>26.55</v>
      </c>
      <c r="AD28" s="140">
        <v>67</v>
      </c>
      <c r="AE28" s="140">
        <v>67</v>
      </c>
      <c r="AF28" s="204">
        <v>38.700000000000003</v>
      </c>
      <c r="AG28" s="101">
        <f>AC28+AD28+AE28+AF28</f>
        <v>199.25</v>
      </c>
      <c r="AI28" s="724"/>
      <c r="AJ28" s="729"/>
      <c r="AK28" s="730"/>
      <c r="AL28" s="205">
        <v>1411</v>
      </c>
      <c r="AM28" s="130">
        <v>7412</v>
      </c>
      <c r="AN28" s="131">
        <f>'Structural Information'!U11</f>
        <v>2.75</v>
      </c>
      <c r="AO28" s="206">
        <f>'Structural Information'!T28/1000</f>
        <v>0.3</v>
      </c>
      <c r="AP28" s="132">
        <f t="shared" si="9"/>
        <v>1.1824999999999999</v>
      </c>
      <c r="AQ28" s="133">
        <f>(0.08*AP28*1000+0.022*'Structural Information'!$AE$18*'Structural Information'!$W$29)/1000</f>
        <v>0.22554399999999999</v>
      </c>
      <c r="AR28" s="134">
        <f>AP28*'Structural Information'!$AE$24/AO28</f>
        <v>7.3315000000000003E-3</v>
      </c>
      <c r="AS28" s="116">
        <v>71.3</v>
      </c>
      <c r="AT28" s="207">
        <f t="shared" si="1"/>
        <v>0.52273594999999995</v>
      </c>
      <c r="AU28" s="192">
        <f>AR28+AQ28*(AR28*3/AP28)*(N96-1)</f>
        <v>2.6730582537579622E-2</v>
      </c>
      <c r="AV28" s="137">
        <v>76.8</v>
      </c>
      <c r="AW28" s="193">
        <f t="shared" si="2"/>
        <v>2.0529087388861149</v>
      </c>
      <c r="AX28" s="139">
        <f>AR28+AQ28*(AR28*3/AP28)*(O96-1)</f>
        <v>4.8374187021656058E-2</v>
      </c>
      <c r="AY28" s="140">
        <v>51.7</v>
      </c>
      <c r="AZ28" s="141">
        <f t="shared" si="3"/>
        <v>2.5009454690196185</v>
      </c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48" t="s">
        <v>439</v>
      </c>
      <c r="BO28" s="62">
        <f t="shared" si="13"/>
        <v>1</v>
      </c>
      <c r="BP28" s="62">
        <f t="shared" si="13"/>
        <v>2.6612567533960512</v>
      </c>
      <c r="BQ28" s="62">
        <f t="shared" si="13"/>
        <v>3.0957625277169933</v>
      </c>
      <c r="BR28" s="62">
        <f t="shared" si="13"/>
        <v>6.1599549077622981</v>
      </c>
      <c r="BS28" s="194">
        <f t="shared" si="13"/>
        <v>29.619417251185229</v>
      </c>
    </row>
    <row r="29" spans="2:71" ht="16.5" thickBot="1" x14ac:dyDescent="0.3">
      <c r="B29" s="655"/>
      <c r="C29" s="89">
        <v>5113</v>
      </c>
      <c r="D29" s="89" t="s">
        <v>12</v>
      </c>
      <c r="E29" s="197">
        <v>7.7999999999999996E-3</v>
      </c>
      <c r="F29" s="198">
        <v>7.7999999999999996E-3</v>
      </c>
      <c r="G29" s="197">
        <v>4.53E-2</v>
      </c>
      <c r="H29" s="198">
        <v>4.53E-2</v>
      </c>
      <c r="I29" s="199">
        <v>0.14019999999999999</v>
      </c>
      <c r="J29" s="200">
        <v>0.14019999999999999</v>
      </c>
      <c r="K29" s="199">
        <v>0.47220000000000001</v>
      </c>
      <c r="L29" s="200">
        <v>0.47220000000000001</v>
      </c>
      <c r="M29" s="201">
        <v>0</v>
      </c>
      <c r="N29" s="27">
        <f t="shared" ref="N29:N31" si="14">G29/E29</f>
        <v>5.8076923076923084</v>
      </c>
      <c r="O29" s="22">
        <f t="shared" ref="O29:O31" si="15">I29/E29</f>
        <v>17.974358974358974</v>
      </c>
      <c r="Q29" s="715" t="s">
        <v>73</v>
      </c>
      <c r="R29" s="716"/>
      <c r="S29" s="717"/>
      <c r="T29" s="717"/>
      <c r="U29" s="717"/>
      <c r="V29" s="717"/>
      <c r="W29" s="716"/>
      <c r="X29" s="717"/>
      <c r="Y29" s="717"/>
      <c r="Z29" s="717"/>
      <c r="AA29" s="717"/>
      <c r="AB29" s="716"/>
      <c r="AC29" s="717"/>
      <c r="AD29" s="717"/>
      <c r="AE29" s="717"/>
      <c r="AF29" s="717"/>
      <c r="AG29" s="718"/>
      <c r="AI29" s="640">
        <v>0</v>
      </c>
      <c r="AJ29" s="703" t="s">
        <v>42</v>
      </c>
      <c r="AK29" s="703"/>
      <c r="AL29" s="102">
        <v>1110</v>
      </c>
      <c r="AM29" s="102">
        <v>7111</v>
      </c>
      <c r="AN29" s="103">
        <f>'Structural Information'!U11</f>
        <v>2.75</v>
      </c>
      <c r="AO29" s="103">
        <f>'Structural Information'!T28/1000</f>
        <v>0.3</v>
      </c>
      <c r="AP29" s="208">
        <f>'Structural Information'!$T$11/((S5/S6)+1)</f>
        <v>1.9204211557296766</v>
      </c>
      <c r="AQ29" s="105">
        <f>(0.08*AP29*1000+0.022*'Structural Information'!$AE$18*'Structural Information'!$W$29)/1000</f>
        <v>0.28457769245837417</v>
      </c>
      <c r="AR29" s="121">
        <f>0.7*'Structural Information'!$AE$34*AP29/AO29</f>
        <v>8.3346278158667984E-3</v>
      </c>
      <c r="AS29" s="122">
        <v>71.3</v>
      </c>
      <c r="AT29" s="123">
        <f t="shared" si="1"/>
        <v>0.59425896327130268</v>
      </c>
      <c r="AU29" s="124">
        <f>AR29+AQ29*(AR29*3/AP29)*(N77-1)</f>
        <v>2.706014644791201E-2</v>
      </c>
      <c r="AV29" s="125">
        <v>76.8</v>
      </c>
      <c r="AW29" s="126">
        <f t="shared" si="2"/>
        <v>2.0782192471996423</v>
      </c>
      <c r="AX29" s="127">
        <f>AR29+AQ29*(AR29*3/AP29)*(O77-1)</f>
        <v>4.9718879039199596E-2</v>
      </c>
      <c r="AY29" s="128">
        <v>61.4</v>
      </c>
      <c r="AZ29" s="129">
        <f t="shared" si="3"/>
        <v>3.0527391730068549</v>
      </c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3" t="s">
        <v>440</v>
      </c>
      <c r="BO29" s="32">
        <f t="shared" si="13"/>
        <v>1</v>
      </c>
      <c r="BP29" s="32">
        <f t="shared" si="13"/>
        <v>2.681093938631034</v>
      </c>
      <c r="BQ29" s="32">
        <f t="shared" si="13"/>
        <v>4.0020745731360794</v>
      </c>
      <c r="BR29" s="32">
        <f t="shared" si="13"/>
        <v>9.0472953198988275</v>
      </c>
      <c r="BS29" s="209">
        <f t="shared" si="13"/>
        <v>37.649986710348848</v>
      </c>
    </row>
    <row r="30" spans="2:71" x14ac:dyDescent="0.25">
      <c r="B30" s="655"/>
      <c r="C30" s="89">
        <v>5114</v>
      </c>
      <c r="D30" s="89" t="s">
        <v>12</v>
      </c>
      <c r="E30" s="197">
        <v>7.7999999999999996E-3</v>
      </c>
      <c r="F30" s="198">
        <v>7.7999999999999996E-3</v>
      </c>
      <c r="G30" s="197">
        <v>4.53E-2</v>
      </c>
      <c r="H30" s="198">
        <v>4.53E-2</v>
      </c>
      <c r="I30" s="199">
        <v>0.14019999999999999</v>
      </c>
      <c r="J30" s="200">
        <v>0.14019999999999999</v>
      </c>
      <c r="K30" s="199">
        <v>0.47220000000000001</v>
      </c>
      <c r="L30" s="200">
        <v>0.47220000000000001</v>
      </c>
      <c r="M30" s="201">
        <v>0</v>
      </c>
      <c r="N30" s="27">
        <f t="shared" si="14"/>
        <v>5.8076923076923084</v>
      </c>
      <c r="O30" s="22">
        <f t="shared" si="15"/>
        <v>17.974358974358974</v>
      </c>
      <c r="Q30" s="640" t="s">
        <v>9</v>
      </c>
      <c r="R30" s="590"/>
      <c r="S30" s="590">
        <v>4</v>
      </c>
      <c r="T30" s="590"/>
      <c r="U30" s="590"/>
      <c r="V30" s="590"/>
      <c r="W30" s="590"/>
      <c r="X30" s="590">
        <v>5</v>
      </c>
      <c r="Y30" s="590"/>
      <c r="Z30" s="590"/>
      <c r="AA30" s="590"/>
      <c r="AB30" s="590"/>
      <c r="AC30" s="590">
        <v>6</v>
      </c>
      <c r="AD30" s="590"/>
      <c r="AE30" s="590"/>
      <c r="AF30" s="590"/>
      <c r="AG30" s="704"/>
      <c r="AI30" s="640"/>
      <c r="AJ30" s="703"/>
      <c r="AK30" s="703"/>
      <c r="AL30" s="61">
        <v>1210</v>
      </c>
      <c r="AM30" s="61">
        <v>7211</v>
      </c>
      <c r="AN30" s="62">
        <f>'Structural Information'!U11</f>
        <v>2.75</v>
      </c>
      <c r="AO30" s="62">
        <f>'Structural Information'!T33/1000</f>
        <v>0.5</v>
      </c>
      <c r="AP30" s="210">
        <f>'Structural Information'!$T$11/((T5/T6)+1)</f>
        <v>1.5013786764705881</v>
      </c>
      <c r="AQ30" s="120">
        <f>(0.08*AP30*1000+0.022*'Structural Information'!$AE$18*'Structural Information'!$W$34)/1000</f>
        <v>0.26742229411764701</v>
      </c>
      <c r="AR30" s="121">
        <f>0.7*'Structural Information'!$AE$34*AP30/AO30</f>
        <v>3.909590073529411E-3</v>
      </c>
      <c r="AS30" s="122">
        <v>118.8</v>
      </c>
      <c r="AT30" s="123">
        <f t="shared" si="1"/>
        <v>0.46445930073529401</v>
      </c>
      <c r="AU30" s="124">
        <f>AR30+AQ30*(AR30*3/AP30)*(N83-1)</f>
        <v>1.5436961772617643E-2</v>
      </c>
      <c r="AV30" s="125">
        <v>128</v>
      </c>
      <c r="AW30" s="126">
        <f t="shared" si="2"/>
        <v>1.9759311068950582</v>
      </c>
      <c r="AX30" s="127">
        <f>AR30+AQ30*(AR30*3/AP30)*(O83-1)</f>
        <v>2.4371607474661758E-2</v>
      </c>
      <c r="AY30" s="128">
        <v>102.4</v>
      </c>
      <c r="AZ30" s="129">
        <f t="shared" si="3"/>
        <v>2.4956526054053643</v>
      </c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</row>
    <row r="31" spans="2:71" x14ac:dyDescent="0.25">
      <c r="B31" s="655"/>
      <c r="C31" s="89">
        <v>5115</v>
      </c>
      <c r="D31" s="89" t="s">
        <v>12</v>
      </c>
      <c r="E31" s="197">
        <v>7.7999999999999996E-3</v>
      </c>
      <c r="F31" s="198">
        <v>7.7999999999999996E-3</v>
      </c>
      <c r="G31" s="197">
        <v>4.53E-2</v>
      </c>
      <c r="H31" s="198">
        <v>4.53E-2</v>
      </c>
      <c r="I31" s="199">
        <v>0.14019999999999999</v>
      </c>
      <c r="J31" s="200">
        <v>0.14019999999999999</v>
      </c>
      <c r="K31" s="199">
        <v>0.47220000000000001</v>
      </c>
      <c r="L31" s="200">
        <v>0.47220000000000001</v>
      </c>
      <c r="M31" s="201">
        <v>0</v>
      </c>
      <c r="N31" s="27">
        <f t="shared" si="14"/>
        <v>5.8076923076923084</v>
      </c>
      <c r="O31" s="22">
        <f t="shared" si="15"/>
        <v>17.974358974358974</v>
      </c>
      <c r="Q31" s="640" t="s">
        <v>42</v>
      </c>
      <c r="R31" s="590"/>
      <c r="S31" s="82" t="s">
        <v>55</v>
      </c>
      <c r="T31" s="82" t="s">
        <v>56</v>
      </c>
      <c r="U31" s="82" t="s">
        <v>57</v>
      </c>
      <c r="V31" s="82" t="s">
        <v>58</v>
      </c>
      <c r="W31" s="83" t="s">
        <v>62</v>
      </c>
      <c r="X31" s="82" t="s">
        <v>65</v>
      </c>
      <c r="Y31" s="82" t="s">
        <v>66</v>
      </c>
      <c r="Z31" s="82" t="s">
        <v>67</v>
      </c>
      <c r="AA31" s="82" t="s">
        <v>68</v>
      </c>
      <c r="AB31" s="83" t="s">
        <v>62</v>
      </c>
      <c r="AC31" s="82" t="s">
        <v>69</v>
      </c>
      <c r="AD31" s="82" t="s">
        <v>70</v>
      </c>
      <c r="AE31" s="82" t="s">
        <v>71</v>
      </c>
      <c r="AF31" s="82" t="s">
        <v>72</v>
      </c>
      <c r="AG31" s="84" t="s">
        <v>62</v>
      </c>
      <c r="AI31" s="640"/>
      <c r="AJ31" s="703"/>
      <c r="AK31" s="703"/>
      <c r="AL31" s="61">
        <v>1310</v>
      </c>
      <c r="AM31" s="61">
        <v>7311</v>
      </c>
      <c r="AN31" s="62">
        <f>'Structural Information'!U11</f>
        <v>2.75</v>
      </c>
      <c r="AO31" s="62">
        <f>'Structural Information'!T33/1000</f>
        <v>0.5</v>
      </c>
      <c r="AP31" s="210">
        <f>'Structural Information'!$T$11/((U5/U6)+1)</f>
        <v>1.5013786764705881</v>
      </c>
      <c r="AQ31" s="120">
        <f>(0.08*AP31*1000+0.022*'Structural Information'!$AE$18*'Structural Information'!$W$34)/1000</f>
        <v>0.26742229411764701</v>
      </c>
      <c r="AR31" s="121">
        <f>0.7*'Structural Information'!$AE$34*AP31/AO31</f>
        <v>3.909590073529411E-3</v>
      </c>
      <c r="AS31" s="122">
        <v>118.8</v>
      </c>
      <c r="AT31" s="123">
        <f t="shared" si="1"/>
        <v>0.46445930073529401</v>
      </c>
      <c r="AU31" s="124">
        <f>AR31+AQ31*(AR31*3/AP31)*(N89-1)</f>
        <v>1.5436961772617643E-2</v>
      </c>
      <c r="AV31" s="125">
        <v>128</v>
      </c>
      <c r="AW31" s="126">
        <f t="shared" si="2"/>
        <v>1.9759311068950582</v>
      </c>
      <c r="AX31" s="127">
        <f>AR31+AQ31*(AR31*3/AP31)*(O89-1)</f>
        <v>2.4371607474661758E-2</v>
      </c>
      <c r="AY31" s="128">
        <v>102.4</v>
      </c>
      <c r="AZ31" s="129">
        <f t="shared" si="3"/>
        <v>2.4956526054053643</v>
      </c>
    </row>
    <row r="32" spans="2:71" ht="16.5" thickBot="1" x14ac:dyDescent="0.3">
      <c r="B32" s="656"/>
      <c r="C32" s="130">
        <v>5116</v>
      </c>
      <c r="D32" s="130" t="s">
        <v>12</v>
      </c>
      <c r="E32" s="211">
        <v>7.7999999999999996E-3</v>
      </c>
      <c r="F32" s="212">
        <v>7.7999999999999996E-3</v>
      </c>
      <c r="G32" s="211">
        <v>4.53E-2</v>
      </c>
      <c r="H32" s="212">
        <v>4.53E-2</v>
      </c>
      <c r="I32" s="213">
        <v>0.14019999999999999</v>
      </c>
      <c r="J32" s="214">
        <v>0.14019999999999999</v>
      </c>
      <c r="K32" s="213">
        <v>0.47220000000000001</v>
      </c>
      <c r="L32" s="214">
        <v>0.47220000000000001</v>
      </c>
      <c r="M32" s="215">
        <v>0</v>
      </c>
      <c r="N32" s="133">
        <f t="shared" ref="N32" si="16">G32/E32</f>
        <v>5.8076923076923084</v>
      </c>
      <c r="O32" s="216">
        <f t="shared" ref="O32" si="17">I32/E32</f>
        <v>17.974358974358974</v>
      </c>
      <c r="Q32" s="640" t="s">
        <v>61</v>
      </c>
      <c r="R32" s="593"/>
      <c r="S32" s="96">
        <v>26.55</v>
      </c>
      <c r="T32" s="112">
        <v>42.7</v>
      </c>
      <c r="U32" s="112">
        <v>42.7</v>
      </c>
      <c r="V32" s="202">
        <v>35.799999999999997</v>
      </c>
      <c r="W32" s="99">
        <f>S32+T32+U32+V32</f>
        <v>147.75</v>
      </c>
      <c r="X32" s="96">
        <v>26.6</v>
      </c>
      <c r="Y32" s="112">
        <v>38.5</v>
      </c>
      <c r="Z32" s="112">
        <v>38.5</v>
      </c>
      <c r="AA32" s="202">
        <v>31.3</v>
      </c>
      <c r="AB32" s="99">
        <f>X32+Y32+Z32+AA32</f>
        <v>134.9</v>
      </c>
      <c r="AC32" s="217">
        <v>26.5</v>
      </c>
      <c r="AD32" s="112">
        <v>31</v>
      </c>
      <c r="AE32" s="112">
        <v>31</v>
      </c>
      <c r="AF32" s="202">
        <v>26.5</v>
      </c>
      <c r="AG32" s="101">
        <f>AC32+AD32+AE32+AF32</f>
        <v>115</v>
      </c>
      <c r="AI32" s="641"/>
      <c r="AJ32" s="707"/>
      <c r="AK32" s="707"/>
      <c r="AL32" s="179">
        <v>1410</v>
      </c>
      <c r="AM32" s="179">
        <v>7411</v>
      </c>
      <c r="AN32" s="32">
        <f>'Structural Information'!U11</f>
        <v>2.75</v>
      </c>
      <c r="AO32" s="32">
        <f>'Structural Information'!T28/1000</f>
        <v>0.3</v>
      </c>
      <c r="AP32" s="37">
        <f>'Structural Information'!$T$11/((V5/V6)+1)</f>
        <v>1.375</v>
      </c>
      <c r="AQ32" s="38">
        <f>(0.08*AP32*1000+0.022*'Structural Information'!$AE$18*'Structural Information'!$W$29)/1000</f>
        <v>0.24094399999999999</v>
      </c>
      <c r="AR32" s="218">
        <f>0.7*'Structural Information'!$AE$34*AP32/AO32</f>
        <v>5.9674999999999997E-3</v>
      </c>
      <c r="AS32" s="167">
        <v>71.3</v>
      </c>
      <c r="AT32" s="219">
        <f t="shared" si="1"/>
        <v>0.42548274999999997</v>
      </c>
      <c r="AU32" s="220">
        <f>AR32+AQ32*(AR32*3/AP32)*(N95-1)</f>
        <v>2.1821874678153847E-2</v>
      </c>
      <c r="AV32" s="186">
        <v>76.8</v>
      </c>
      <c r="AW32" s="221">
        <f t="shared" si="2"/>
        <v>1.6759199752822154</v>
      </c>
      <c r="AX32" s="222">
        <f>AR32+AQ32*(AR32*3/AP32)*(O95-1)</f>
        <v>4.100639198276923E-2</v>
      </c>
      <c r="AY32" s="223">
        <v>61.4</v>
      </c>
      <c r="AZ32" s="224">
        <f t="shared" si="3"/>
        <v>2.5177924677420305</v>
      </c>
    </row>
    <row r="33" spans="2:33" ht="16.5" thickBot="1" x14ac:dyDescent="0.3">
      <c r="B33" s="657">
        <v>2</v>
      </c>
      <c r="C33" s="102">
        <v>5211</v>
      </c>
      <c r="D33" s="102" t="s">
        <v>12</v>
      </c>
      <c r="E33" s="225">
        <v>7.7999999999999996E-3</v>
      </c>
      <c r="F33" s="226">
        <v>7.7999999999999996E-3</v>
      </c>
      <c r="G33" s="225">
        <v>4.53E-2</v>
      </c>
      <c r="H33" s="226">
        <v>4.53E-2</v>
      </c>
      <c r="I33" s="227">
        <v>0.14019999999999999</v>
      </c>
      <c r="J33" s="228">
        <v>0.14019999999999999</v>
      </c>
      <c r="K33" s="227">
        <v>0.47220000000000001</v>
      </c>
      <c r="L33" s="228">
        <v>0.47220000000000001</v>
      </c>
      <c r="M33" s="27">
        <v>0</v>
      </c>
      <c r="N33" s="27">
        <f>G33/E33</f>
        <v>5.8076923076923084</v>
      </c>
      <c r="O33" s="22">
        <f>I33/E33</f>
        <v>17.974358974358974</v>
      </c>
      <c r="Q33" s="641" t="s">
        <v>60</v>
      </c>
      <c r="R33" s="642"/>
      <c r="S33" s="166">
        <v>26.55</v>
      </c>
      <c r="T33" s="223">
        <v>42.7</v>
      </c>
      <c r="U33" s="223">
        <v>42.7</v>
      </c>
      <c r="V33" s="229">
        <v>35.799999999999997</v>
      </c>
      <c r="W33" s="169">
        <f>S33+T33+U33+V33</f>
        <v>147.75</v>
      </c>
      <c r="X33" s="166">
        <v>26.55</v>
      </c>
      <c r="Y33" s="223">
        <v>38.5</v>
      </c>
      <c r="Z33" s="223">
        <v>38.5</v>
      </c>
      <c r="AA33" s="229">
        <v>31.3</v>
      </c>
      <c r="AB33" s="169">
        <f>X33+Y33+Z33+AA33</f>
        <v>134.85</v>
      </c>
      <c r="AC33" s="230">
        <v>26.5</v>
      </c>
      <c r="AD33" s="223">
        <v>31</v>
      </c>
      <c r="AE33" s="223">
        <v>31</v>
      </c>
      <c r="AF33" s="229">
        <v>26.5</v>
      </c>
      <c r="AG33" s="171">
        <f>AC33+AD33+AE33+AF33</f>
        <v>115</v>
      </c>
    </row>
    <row r="34" spans="2:33" ht="16.5" thickBot="1" x14ac:dyDescent="0.3">
      <c r="B34" s="655"/>
      <c r="C34" s="89">
        <v>5212</v>
      </c>
      <c r="D34" s="89" t="s">
        <v>12</v>
      </c>
      <c r="E34" s="197">
        <v>7.7999999999999996E-3</v>
      </c>
      <c r="F34" s="198">
        <v>7.7999999999999996E-3</v>
      </c>
      <c r="G34" s="197">
        <v>4.53E-2</v>
      </c>
      <c r="H34" s="198">
        <v>4.53E-2</v>
      </c>
      <c r="I34" s="199">
        <v>0.14019999999999999</v>
      </c>
      <c r="J34" s="200">
        <v>0.14019999999999999</v>
      </c>
      <c r="K34" s="199">
        <v>0.47220000000000001</v>
      </c>
      <c r="L34" s="200">
        <v>0.47220000000000001</v>
      </c>
      <c r="M34" s="27">
        <v>0</v>
      </c>
      <c r="N34" s="27">
        <f>G34/E34</f>
        <v>5.8076923076923084</v>
      </c>
      <c r="O34" s="22">
        <f>I34/E34</f>
        <v>17.974358974358974</v>
      </c>
    </row>
    <row r="35" spans="2:33" ht="16.5" thickBot="1" x14ac:dyDescent="0.3">
      <c r="B35" s="655"/>
      <c r="C35" s="89">
        <v>5213</v>
      </c>
      <c r="D35" s="89" t="s">
        <v>12</v>
      </c>
      <c r="E35" s="197">
        <v>7.7999999999999996E-3</v>
      </c>
      <c r="F35" s="198">
        <v>7.7999999999999996E-3</v>
      </c>
      <c r="G35" s="197">
        <v>4.53E-2</v>
      </c>
      <c r="H35" s="198">
        <v>4.53E-2</v>
      </c>
      <c r="I35" s="199">
        <v>0.14019999999999999</v>
      </c>
      <c r="J35" s="200">
        <v>0.14019999999999999</v>
      </c>
      <c r="K35" s="199">
        <v>0.47220000000000001</v>
      </c>
      <c r="L35" s="200">
        <v>0.47220000000000001</v>
      </c>
      <c r="M35" s="27">
        <v>0</v>
      </c>
      <c r="N35" s="27">
        <f t="shared" ref="N35:N38" si="18">G35/E35</f>
        <v>5.8076923076923084</v>
      </c>
      <c r="O35" s="22">
        <f t="shared" ref="O35:O38" si="19">I35/E35</f>
        <v>17.974358974358974</v>
      </c>
      <c r="Q35" s="751" t="s">
        <v>313</v>
      </c>
      <c r="R35" s="752"/>
      <c r="S35" s="752"/>
      <c r="T35" s="752"/>
      <c r="U35" s="752"/>
      <c r="V35" s="752"/>
      <c r="W35" s="752"/>
      <c r="X35" s="752"/>
      <c r="Y35" s="752"/>
      <c r="Z35" s="752"/>
      <c r="AA35" s="752"/>
      <c r="AB35" s="752"/>
      <c r="AC35" s="752"/>
      <c r="AD35" s="752"/>
      <c r="AE35" s="752"/>
      <c r="AF35" s="752"/>
      <c r="AG35" s="753"/>
    </row>
    <row r="36" spans="2:33" x14ac:dyDescent="0.25">
      <c r="B36" s="655"/>
      <c r="C36" s="89">
        <v>5214</v>
      </c>
      <c r="D36" s="89" t="s">
        <v>12</v>
      </c>
      <c r="E36" s="197">
        <v>7.7999999999999996E-3</v>
      </c>
      <c r="F36" s="198">
        <v>7.7999999999999996E-3</v>
      </c>
      <c r="G36" s="197">
        <v>4.53E-2</v>
      </c>
      <c r="H36" s="198">
        <v>4.53E-2</v>
      </c>
      <c r="I36" s="199">
        <v>0.14019999999999999</v>
      </c>
      <c r="J36" s="200">
        <v>0.14019999999999999</v>
      </c>
      <c r="K36" s="199">
        <v>0.47220000000000001</v>
      </c>
      <c r="L36" s="200">
        <v>0.47220000000000001</v>
      </c>
      <c r="M36" s="27">
        <v>0</v>
      </c>
      <c r="N36" s="27">
        <f t="shared" si="18"/>
        <v>5.8076923076923084</v>
      </c>
      <c r="O36" s="22">
        <f t="shared" si="19"/>
        <v>17.974358974358974</v>
      </c>
      <c r="Q36" s="647" t="s">
        <v>9</v>
      </c>
      <c r="R36" s="648"/>
      <c r="S36" s="648">
        <v>1</v>
      </c>
      <c r="T36" s="648"/>
      <c r="U36" s="648"/>
      <c r="V36" s="648"/>
      <c r="W36" s="648"/>
      <c r="X36" s="648">
        <v>2</v>
      </c>
      <c r="Y36" s="648"/>
      <c r="Z36" s="648"/>
      <c r="AA36" s="648"/>
      <c r="AB36" s="648"/>
      <c r="AC36" s="648">
        <v>3</v>
      </c>
      <c r="AD36" s="648"/>
      <c r="AE36" s="648"/>
      <c r="AF36" s="648"/>
      <c r="AG36" s="649"/>
    </row>
    <row r="37" spans="2:33" x14ac:dyDescent="0.25">
      <c r="B37" s="655"/>
      <c r="C37" s="89">
        <v>5215</v>
      </c>
      <c r="D37" s="89" t="s">
        <v>12</v>
      </c>
      <c r="E37" s="197">
        <v>7.7999999999999996E-3</v>
      </c>
      <c r="F37" s="198">
        <v>7.7999999999999996E-3</v>
      </c>
      <c r="G37" s="197">
        <v>4.53E-2</v>
      </c>
      <c r="H37" s="198">
        <v>4.53E-2</v>
      </c>
      <c r="I37" s="199">
        <v>0.14019999999999999</v>
      </c>
      <c r="J37" s="200">
        <v>0.14019999999999999</v>
      </c>
      <c r="K37" s="199">
        <v>0.47220000000000001</v>
      </c>
      <c r="L37" s="200">
        <v>0.47220000000000001</v>
      </c>
      <c r="M37" s="27">
        <v>0</v>
      </c>
      <c r="N37" s="27">
        <f t="shared" si="18"/>
        <v>5.8076923076923084</v>
      </c>
      <c r="O37" s="22">
        <f t="shared" si="19"/>
        <v>17.974358974358974</v>
      </c>
      <c r="Q37" s="640" t="s">
        <v>42</v>
      </c>
      <c r="R37" s="590"/>
      <c r="S37" s="82" t="s">
        <v>43</v>
      </c>
      <c r="T37" s="82" t="s">
        <v>44</v>
      </c>
      <c r="U37" s="82" t="s">
        <v>45</v>
      </c>
      <c r="V37" s="82" t="s">
        <v>46</v>
      </c>
      <c r="W37" s="83" t="s">
        <v>62</v>
      </c>
      <c r="X37" s="82" t="s">
        <v>47</v>
      </c>
      <c r="Y37" s="82" t="s">
        <v>48</v>
      </c>
      <c r="Z37" s="82" t="s">
        <v>49</v>
      </c>
      <c r="AA37" s="82" t="s">
        <v>50</v>
      </c>
      <c r="AB37" s="83" t="s">
        <v>62</v>
      </c>
      <c r="AC37" s="82" t="s">
        <v>51</v>
      </c>
      <c r="AD37" s="82" t="s">
        <v>52</v>
      </c>
      <c r="AE37" s="82" t="s">
        <v>53</v>
      </c>
      <c r="AF37" s="82" t="s">
        <v>54</v>
      </c>
      <c r="AG37" s="84" t="s">
        <v>62</v>
      </c>
    </row>
    <row r="38" spans="2:33" x14ac:dyDescent="0.25">
      <c r="B38" s="656"/>
      <c r="C38" s="130">
        <v>5216</v>
      </c>
      <c r="D38" s="130" t="s">
        <v>12</v>
      </c>
      <c r="E38" s="211">
        <v>7.7999999999999996E-3</v>
      </c>
      <c r="F38" s="212">
        <v>7.7999999999999996E-3</v>
      </c>
      <c r="G38" s="211">
        <v>4.53E-2</v>
      </c>
      <c r="H38" s="212">
        <v>4.53E-2</v>
      </c>
      <c r="I38" s="213">
        <v>0.14019999999999999</v>
      </c>
      <c r="J38" s="214">
        <v>0.14019999999999999</v>
      </c>
      <c r="K38" s="213">
        <v>0.47220000000000001</v>
      </c>
      <c r="L38" s="214">
        <v>0.47220000000000001</v>
      </c>
      <c r="M38" s="27">
        <v>0</v>
      </c>
      <c r="N38" s="133">
        <f t="shared" si="18"/>
        <v>5.8076923076923084</v>
      </c>
      <c r="O38" s="216">
        <f t="shared" si="19"/>
        <v>17.974358974358974</v>
      </c>
      <c r="Q38" s="640" t="s">
        <v>61</v>
      </c>
      <c r="R38" s="593"/>
      <c r="S38" s="96">
        <v>3.3</v>
      </c>
      <c r="T38" s="97">
        <v>10.6</v>
      </c>
      <c r="U38" s="97">
        <v>10.6</v>
      </c>
      <c r="V38" s="231">
        <v>7.7</v>
      </c>
      <c r="W38" s="99">
        <f>S38+T38+U38+V38</f>
        <v>32.200000000000003</v>
      </c>
      <c r="X38" s="96">
        <v>3.3</v>
      </c>
      <c r="Y38" s="112">
        <v>71.400000000000006</v>
      </c>
      <c r="Z38" s="112">
        <v>71.400000000000006</v>
      </c>
      <c r="AA38" s="231">
        <v>6.45</v>
      </c>
      <c r="AB38" s="99">
        <f>X38+Y38+Z38+AA38</f>
        <v>152.55000000000001</v>
      </c>
      <c r="AC38" s="96">
        <v>3.3</v>
      </c>
      <c r="AD38" s="232">
        <v>8.4</v>
      </c>
      <c r="AE38" s="232">
        <v>8.4</v>
      </c>
      <c r="AF38" s="231">
        <v>4.8</v>
      </c>
      <c r="AG38" s="101">
        <f>AC38+AD38+AE38+AF38</f>
        <v>24.900000000000002</v>
      </c>
    </row>
    <row r="39" spans="2:33" x14ac:dyDescent="0.25">
      <c r="B39" s="657">
        <v>3</v>
      </c>
      <c r="C39" s="102">
        <v>5311</v>
      </c>
      <c r="D39" s="102" t="s">
        <v>12</v>
      </c>
      <c r="E39" s="225">
        <v>7.7999999999999996E-3</v>
      </c>
      <c r="F39" s="226">
        <v>7.7999999999999996E-3</v>
      </c>
      <c r="G39" s="225">
        <v>4.53E-2</v>
      </c>
      <c r="H39" s="226">
        <v>4.53E-2</v>
      </c>
      <c r="I39" s="227">
        <v>0.14019999999999999</v>
      </c>
      <c r="J39" s="228">
        <v>0.14019999999999999</v>
      </c>
      <c r="K39" s="227">
        <v>0.47220000000000001</v>
      </c>
      <c r="L39" s="228">
        <v>0.47220000000000001</v>
      </c>
      <c r="M39" s="233">
        <v>0</v>
      </c>
      <c r="N39" s="27">
        <f>G39/E39</f>
        <v>5.8076923076923084</v>
      </c>
      <c r="O39" s="22">
        <f>I39/E39</f>
        <v>17.974358974358974</v>
      </c>
      <c r="Q39" s="640" t="s">
        <v>60</v>
      </c>
      <c r="R39" s="593"/>
      <c r="S39" s="234">
        <v>7.7</v>
      </c>
      <c r="T39" s="235">
        <v>12.8</v>
      </c>
      <c r="U39" s="235">
        <v>12.8</v>
      </c>
      <c r="V39" s="236">
        <v>7.7</v>
      </c>
      <c r="W39" s="99">
        <f>S39+T39+U39+V39</f>
        <v>41</v>
      </c>
      <c r="X39" s="118">
        <v>3.3</v>
      </c>
      <c r="Y39" s="235">
        <v>8.9</v>
      </c>
      <c r="Z39" s="235">
        <v>8.9</v>
      </c>
      <c r="AA39" s="236">
        <v>6.45</v>
      </c>
      <c r="AB39" s="99">
        <f>X39+Y39+Z39+AA39</f>
        <v>27.55</v>
      </c>
      <c r="AC39" s="118">
        <v>3.3</v>
      </c>
      <c r="AD39" s="235">
        <v>8.4</v>
      </c>
      <c r="AE39" s="235">
        <v>8.4</v>
      </c>
      <c r="AF39" s="236">
        <v>4.8</v>
      </c>
      <c r="AG39" s="101">
        <f>AC39+AD39+AE39+AF39</f>
        <v>24.900000000000002</v>
      </c>
    </row>
    <row r="40" spans="2:33" x14ac:dyDescent="0.25">
      <c r="B40" s="655"/>
      <c r="C40" s="89">
        <v>5312</v>
      </c>
      <c r="D40" s="89" t="s">
        <v>12</v>
      </c>
      <c r="E40" s="197">
        <v>7.7999999999999996E-3</v>
      </c>
      <c r="F40" s="198">
        <v>7.7999999999999996E-3</v>
      </c>
      <c r="G40" s="197">
        <v>4.53E-2</v>
      </c>
      <c r="H40" s="198">
        <v>4.53E-2</v>
      </c>
      <c r="I40" s="199">
        <v>0.14019999999999999</v>
      </c>
      <c r="J40" s="200">
        <v>0.14019999999999999</v>
      </c>
      <c r="K40" s="199">
        <v>0.47220000000000001</v>
      </c>
      <c r="L40" s="200">
        <v>0.47220000000000001</v>
      </c>
      <c r="M40" s="201">
        <v>0</v>
      </c>
      <c r="N40" s="27">
        <f>G40/E40</f>
        <v>5.8076923076923084</v>
      </c>
      <c r="O40" s="22">
        <f>I40/E40</f>
        <v>17.974358974358974</v>
      </c>
      <c r="Q40" s="650" t="s">
        <v>73</v>
      </c>
      <c r="R40" s="651"/>
      <c r="S40" s="652"/>
      <c r="T40" s="652"/>
      <c r="U40" s="652"/>
      <c r="V40" s="652"/>
      <c r="W40" s="651"/>
      <c r="X40" s="652"/>
      <c r="Y40" s="652"/>
      <c r="Z40" s="652"/>
      <c r="AA40" s="652"/>
      <c r="AB40" s="651"/>
      <c r="AC40" s="652"/>
      <c r="AD40" s="652"/>
      <c r="AE40" s="652"/>
      <c r="AF40" s="652"/>
      <c r="AG40" s="653"/>
    </row>
    <row r="41" spans="2:33" x14ac:dyDescent="0.25">
      <c r="B41" s="655"/>
      <c r="C41" s="89">
        <v>5313</v>
      </c>
      <c r="D41" s="89" t="s">
        <v>12</v>
      </c>
      <c r="E41" s="197">
        <v>7.7999999999999996E-3</v>
      </c>
      <c r="F41" s="198">
        <v>7.7999999999999996E-3</v>
      </c>
      <c r="G41" s="197">
        <v>4.53E-2</v>
      </c>
      <c r="H41" s="198">
        <v>4.53E-2</v>
      </c>
      <c r="I41" s="199">
        <v>0.14019999999999999</v>
      </c>
      <c r="J41" s="200">
        <v>0.14019999999999999</v>
      </c>
      <c r="K41" s="199">
        <v>0.47220000000000001</v>
      </c>
      <c r="L41" s="200">
        <v>0.47220000000000001</v>
      </c>
      <c r="M41" s="201">
        <v>0</v>
      </c>
      <c r="N41" s="27">
        <f t="shared" ref="N41:N44" si="20">G41/E41</f>
        <v>5.8076923076923084</v>
      </c>
      <c r="O41" s="22">
        <f t="shared" ref="O41:O44" si="21">I41/E41</f>
        <v>17.974358974358974</v>
      </c>
      <c r="Q41" s="640" t="s">
        <v>9</v>
      </c>
      <c r="R41" s="590"/>
      <c r="S41" s="590">
        <v>4</v>
      </c>
      <c r="T41" s="590"/>
      <c r="U41" s="590"/>
      <c r="V41" s="590"/>
      <c r="W41" s="590"/>
      <c r="X41" s="590">
        <v>5</v>
      </c>
      <c r="Y41" s="590"/>
      <c r="Z41" s="590"/>
      <c r="AA41" s="590"/>
      <c r="AB41" s="590"/>
      <c r="AC41" s="590">
        <v>6</v>
      </c>
      <c r="AD41" s="590"/>
      <c r="AE41" s="590"/>
      <c r="AF41" s="590"/>
      <c r="AG41" s="704"/>
    </row>
    <row r="42" spans="2:33" x14ac:dyDescent="0.25">
      <c r="B42" s="655"/>
      <c r="C42" s="89">
        <v>5314</v>
      </c>
      <c r="D42" s="89" t="s">
        <v>12</v>
      </c>
      <c r="E42" s="197">
        <v>7.7999999999999996E-3</v>
      </c>
      <c r="F42" s="198">
        <v>7.7999999999999996E-3</v>
      </c>
      <c r="G42" s="197">
        <v>4.53E-2</v>
      </c>
      <c r="H42" s="198">
        <v>4.53E-2</v>
      </c>
      <c r="I42" s="199">
        <v>0.14019999999999999</v>
      </c>
      <c r="J42" s="200">
        <v>0.14019999999999999</v>
      </c>
      <c r="K42" s="199">
        <v>0.47220000000000001</v>
      </c>
      <c r="L42" s="200">
        <v>0.47220000000000001</v>
      </c>
      <c r="M42" s="201">
        <v>0</v>
      </c>
      <c r="N42" s="27">
        <f t="shared" si="20"/>
        <v>5.8076923076923084</v>
      </c>
      <c r="O42" s="22">
        <f t="shared" si="21"/>
        <v>17.974358974358974</v>
      </c>
      <c r="Q42" s="640" t="s">
        <v>42</v>
      </c>
      <c r="R42" s="590"/>
      <c r="S42" s="82" t="s">
        <v>55</v>
      </c>
      <c r="T42" s="82" t="s">
        <v>56</v>
      </c>
      <c r="U42" s="82" t="s">
        <v>57</v>
      </c>
      <c r="V42" s="82" t="s">
        <v>58</v>
      </c>
      <c r="W42" s="83" t="s">
        <v>62</v>
      </c>
      <c r="X42" s="82" t="s">
        <v>65</v>
      </c>
      <c r="Y42" s="82" t="s">
        <v>66</v>
      </c>
      <c r="Z42" s="82" t="s">
        <v>67</v>
      </c>
      <c r="AA42" s="82" t="s">
        <v>68</v>
      </c>
      <c r="AB42" s="83" t="s">
        <v>62</v>
      </c>
      <c r="AC42" s="82" t="s">
        <v>69</v>
      </c>
      <c r="AD42" s="82" t="s">
        <v>70</v>
      </c>
      <c r="AE42" s="82" t="s">
        <v>71</v>
      </c>
      <c r="AF42" s="82" t="s">
        <v>72</v>
      </c>
      <c r="AG42" s="84" t="s">
        <v>62</v>
      </c>
    </row>
    <row r="43" spans="2:33" x14ac:dyDescent="0.25">
      <c r="B43" s="655"/>
      <c r="C43" s="89">
        <v>5315</v>
      </c>
      <c r="D43" s="89" t="s">
        <v>12</v>
      </c>
      <c r="E43" s="197">
        <v>7.7999999999999996E-3</v>
      </c>
      <c r="F43" s="198">
        <v>7.7999999999999996E-3</v>
      </c>
      <c r="G43" s="197">
        <v>4.53E-2</v>
      </c>
      <c r="H43" s="198">
        <v>4.53E-2</v>
      </c>
      <c r="I43" s="199">
        <v>0.14019999999999999</v>
      </c>
      <c r="J43" s="200">
        <v>0.14019999999999999</v>
      </c>
      <c r="K43" s="199">
        <v>0.47220000000000001</v>
      </c>
      <c r="L43" s="200">
        <v>0.47220000000000001</v>
      </c>
      <c r="M43" s="201">
        <v>0</v>
      </c>
      <c r="N43" s="27">
        <f t="shared" si="20"/>
        <v>5.8076923076923084</v>
      </c>
      <c r="O43" s="22">
        <f t="shared" si="21"/>
        <v>17.974358974358974</v>
      </c>
      <c r="Q43" s="640" t="s">
        <v>61</v>
      </c>
      <c r="R43" s="593"/>
      <c r="S43" s="96">
        <v>3.3</v>
      </c>
      <c r="T43" s="232">
        <v>5.3</v>
      </c>
      <c r="U43" s="232">
        <v>5.3</v>
      </c>
      <c r="V43" s="231">
        <v>4.5</v>
      </c>
      <c r="W43" s="99">
        <f>S43+T43+U43+V43</f>
        <v>18.399999999999999</v>
      </c>
      <c r="X43" s="96">
        <v>3.3</v>
      </c>
      <c r="Y43" s="232">
        <v>4.8</v>
      </c>
      <c r="Z43" s="232">
        <v>4.8</v>
      </c>
      <c r="AA43" s="231">
        <v>3.9</v>
      </c>
      <c r="AB43" s="99">
        <f>X43+Y43+Z43+AA43</f>
        <v>16.799999999999997</v>
      </c>
      <c r="AC43" s="237">
        <v>3.3</v>
      </c>
      <c r="AD43" s="232">
        <v>3.9</v>
      </c>
      <c r="AE43" s="232">
        <v>3.9</v>
      </c>
      <c r="AF43" s="231">
        <v>3.3</v>
      </c>
      <c r="AG43" s="101">
        <f>AC43+AD43+AE43+AF43</f>
        <v>14.399999999999999</v>
      </c>
    </row>
    <row r="44" spans="2:33" ht="16.5" thickBot="1" x14ac:dyDescent="0.3">
      <c r="B44" s="662"/>
      <c r="C44" s="179">
        <v>5316</v>
      </c>
      <c r="D44" s="179" t="s">
        <v>12</v>
      </c>
      <c r="E44" s="238">
        <v>7.7999999999999996E-3</v>
      </c>
      <c r="F44" s="239">
        <v>7.7999999999999996E-3</v>
      </c>
      <c r="G44" s="238">
        <v>4.53E-2</v>
      </c>
      <c r="H44" s="239">
        <v>4.53E-2</v>
      </c>
      <c r="I44" s="240">
        <v>0.14019999999999999</v>
      </c>
      <c r="J44" s="241">
        <v>0.14019999999999999</v>
      </c>
      <c r="K44" s="240">
        <v>0.47220000000000001</v>
      </c>
      <c r="L44" s="241">
        <v>0.47220000000000001</v>
      </c>
      <c r="M44" s="242">
        <v>0</v>
      </c>
      <c r="N44" s="38">
        <f t="shared" si="20"/>
        <v>5.8076923076923084</v>
      </c>
      <c r="O44" s="35">
        <f t="shared" si="21"/>
        <v>17.974358974358974</v>
      </c>
      <c r="Q44" s="641" t="s">
        <v>60</v>
      </c>
      <c r="R44" s="642"/>
      <c r="S44" s="166">
        <v>3.3</v>
      </c>
      <c r="T44" s="243">
        <v>5.3</v>
      </c>
      <c r="U44" s="243">
        <v>5.3</v>
      </c>
      <c r="V44" s="244">
        <v>4.5</v>
      </c>
      <c r="W44" s="169">
        <f>S44+T44+U44+V44</f>
        <v>18.399999999999999</v>
      </c>
      <c r="X44" s="166">
        <v>3.3</v>
      </c>
      <c r="Y44" s="243">
        <v>4.8</v>
      </c>
      <c r="Z44" s="243">
        <v>4.8</v>
      </c>
      <c r="AA44" s="244">
        <v>3.9</v>
      </c>
      <c r="AB44" s="169">
        <f>X44+Y44+Z44+AA44</f>
        <v>16.799999999999997</v>
      </c>
      <c r="AC44" s="245">
        <v>3.3</v>
      </c>
      <c r="AD44" s="243">
        <v>3.9</v>
      </c>
      <c r="AE44" s="243">
        <v>3.9</v>
      </c>
      <c r="AF44" s="244">
        <v>3.3</v>
      </c>
      <c r="AG44" s="171">
        <f>AC44+AD44+AE44+AF44</f>
        <v>14.399999999999999</v>
      </c>
    </row>
    <row r="45" spans="2:33" ht="16.5" thickBot="1" x14ac:dyDescent="0.3"/>
    <row r="46" spans="2:33" ht="16.5" thickBot="1" x14ac:dyDescent="0.3">
      <c r="B46" s="669" t="s">
        <v>303</v>
      </c>
      <c r="C46" s="670"/>
      <c r="D46" s="670"/>
      <c r="E46" s="670"/>
      <c r="F46" s="670"/>
      <c r="G46" s="670"/>
      <c r="H46" s="670"/>
      <c r="I46" s="670"/>
      <c r="J46" s="670"/>
      <c r="K46" s="670"/>
      <c r="L46" s="670"/>
      <c r="M46" s="670"/>
      <c r="N46" s="670"/>
      <c r="O46" s="671"/>
    </row>
    <row r="47" spans="2:33" ht="15" customHeight="1" x14ac:dyDescent="0.25">
      <c r="B47" s="672" t="s">
        <v>64</v>
      </c>
      <c r="C47" s="658" t="s">
        <v>32</v>
      </c>
      <c r="D47" s="658" t="s">
        <v>30</v>
      </c>
      <c r="E47" s="667" t="s">
        <v>223</v>
      </c>
      <c r="F47" s="668" t="s">
        <v>224</v>
      </c>
      <c r="G47" s="658" t="s">
        <v>227</v>
      </c>
      <c r="H47" s="658" t="s">
        <v>228</v>
      </c>
      <c r="I47" s="667" t="s">
        <v>225</v>
      </c>
      <c r="J47" s="668" t="s">
        <v>226</v>
      </c>
      <c r="K47" s="667" t="s">
        <v>307</v>
      </c>
      <c r="L47" s="668" t="s">
        <v>308</v>
      </c>
      <c r="M47" s="678"/>
      <c r="N47" s="680"/>
      <c r="O47" s="677"/>
      <c r="R47" s="246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8"/>
    </row>
    <row r="48" spans="2:33" ht="16.5" thickBot="1" x14ac:dyDescent="0.3">
      <c r="B48" s="673"/>
      <c r="C48" s="659"/>
      <c r="D48" s="659"/>
      <c r="E48" s="661"/>
      <c r="F48" s="637"/>
      <c r="G48" s="659"/>
      <c r="H48" s="659"/>
      <c r="I48" s="661"/>
      <c r="J48" s="637"/>
      <c r="K48" s="661"/>
      <c r="L48" s="637"/>
      <c r="M48" s="679"/>
      <c r="N48" s="681"/>
      <c r="O48" s="639"/>
      <c r="R48" s="7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8"/>
    </row>
    <row r="49" spans="2:30" x14ac:dyDescent="0.25">
      <c r="B49" s="654">
        <v>1</v>
      </c>
      <c r="C49" s="89">
        <v>7111</v>
      </c>
      <c r="D49" s="89" t="s">
        <v>28</v>
      </c>
      <c r="E49" s="90">
        <v>71.3</v>
      </c>
      <c r="F49" s="91">
        <v>71.3</v>
      </c>
      <c r="G49" s="249">
        <v>76.8</v>
      </c>
      <c r="H49" s="249">
        <v>76.8</v>
      </c>
      <c r="I49" s="90">
        <v>61.4</v>
      </c>
      <c r="J49" s="91">
        <v>61.4</v>
      </c>
      <c r="K49" s="90">
        <v>7.7</v>
      </c>
      <c r="L49" s="91">
        <v>7.7</v>
      </c>
      <c r="M49" s="250"/>
      <c r="N49" s="250"/>
      <c r="O49" s="251"/>
      <c r="R49" s="7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8"/>
    </row>
    <row r="50" spans="2:30" x14ac:dyDescent="0.25">
      <c r="B50" s="655"/>
      <c r="C50" s="89">
        <v>7112</v>
      </c>
      <c r="D50" s="89" t="s">
        <v>27</v>
      </c>
      <c r="E50" s="90">
        <v>47.5</v>
      </c>
      <c r="F50" s="91">
        <v>47.5</v>
      </c>
      <c r="G50" s="249">
        <v>51.1</v>
      </c>
      <c r="H50" s="249">
        <v>51.1</v>
      </c>
      <c r="I50" s="90">
        <v>40.9</v>
      </c>
      <c r="J50" s="91">
        <v>40.9</v>
      </c>
      <c r="K50" s="90">
        <v>5.0999999999999996</v>
      </c>
      <c r="L50" s="91">
        <v>5.0999999999999996</v>
      </c>
      <c r="M50" s="250"/>
      <c r="N50" s="250"/>
      <c r="O50" s="251"/>
      <c r="R50" s="7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8"/>
    </row>
    <row r="51" spans="2:30" x14ac:dyDescent="0.25">
      <c r="B51" s="655"/>
      <c r="C51" s="89">
        <v>7113</v>
      </c>
      <c r="D51" s="89" t="s">
        <v>27</v>
      </c>
      <c r="E51" s="90">
        <v>44.9</v>
      </c>
      <c r="F51" s="91">
        <v>44.9</v>
      </c>
      <c r="G51" s="249">
        <v>48.4</v>
      </c>
      <c r="H51" s="249">
        <v>48.4</v>
      </c>
      <c r="I51" s="90">
        <v>38.700000000000003</v>
      </c>
      <c r="J51" s="91">
        <v>38.700000000000003</v>
      </c>
      <c r="K51" s="90">
        <v>4.8</v>
      </c>
      <c r="L51" s="91">
        <v>4.8</v>
      </c>
      <c r="M51" s="250"/>
      <c r="N51" s="250"/>
      <c r="O51" s="251"/>
      <c r="R51" s="7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8"/>
    </row>
    <row r="52" spans="2:30" x14ac:dyDescent="0.25">
      <c r="B52" s="655"/>
      <c r="C52" s="89">
        <v>7114</v>
      </c>
      <c r="D52" s="89" t="s">
        <v>27</v>
      </c>
      <c r="E52" s="90">
        <v>41.5</v>
      </c>
      <c r="F52" s="91">
        <v>41.5</v>
      </c>
      <c r="G52" s="249">
        <v>44.7</v>
      </c>
      <c r="H52" s="249">
        <v>44.7</v>
      </c>
      <c r="I52" s="90">
        <v>35.799999999999997</v>
      </c>
      <c r="J52" s="91">
        <v>35.799999999999997</v>
      </c>
      <c r="K52" s="90">
        <v>4.5</v>
      </c>
      <c r="L52" s="91">
        <v>4.5</v>
      </c>
      <c r="M52" s="250"/>
      <c r="N52" s="250"/>
      <c r="O52" s="251"/>
      <c r="R52" s="7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8"/>
    </row>
    <row r="53" spans="2:30" x14ac:dyDescent="0.25">
      <c r="B53" s="655"/>
      <c r="C53" s="89">
        <v>7115</v>
      </c>
      <c r="D53" s="89" t="s">
        <v>27</v>
      </c>
      <c r="E53" s="90">
        <v>36.4</v>
      </c>
      <c r="F53" s="91">
        <v>36.4</v>
      </c>
      <c r="G53" s="249">
        <v>39.200000000000003</v>
      </c>
      <c r="H53" s="249">
        <v>39.200000000000003</v>
      </c>
      <c r="I53" s="90">
        <v>31.3</v>
      </c>
      <c r="J53" s="91">
        <v>31.3</v>
      </c>
      <c r="K53" s="90">
        <v>3.9</v>
      </c>
      <c r="L53" s="91">
        <v>3.9</v>
      </c>
      <c r="M53" s="250"/>
      <c r="N53" s="250"/>
      <c r="O53" s="251"/>
      <c r="R53" s="7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8"/>
    </row>
    <row r="54" spans="2:30" x14ac:dyDescent="0.25">
      <c r="B54" s="656"/>
      <c r="C54" s="130">
        <v>7116</v>
      </c>
      <c r="D54" s="130" t="s">
        <v>27</v>
      </c>
      <c r="E54" s="153">
        <v>30.8</v>
      </c>
      <c r="F54" s="154">
        <v>30.8</v>
      </c>
      <c r="G54" s="252">
        <v>33.1</v>
      </c>
      <c r="H54" s="252">
        <v>33.1</v>
      </c>
      <c r="I54" s="153">
        <v>26.5</v>
      </c>
      <c r="J54" s="154">
        <v>26.5</v>
      </c>
      <c r="K54" s="153">
        <v>3.3</v>
      </c>
      <c r="L54" s="154">
        <v>3.3</v>
      </c>
      <c r="M54" s="253"/>
      <c r="N54" s="253"/>
      <c r="O54" s="254"/>
      <c r="R54" s="7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8"/>
    </row>
    <row r="55" spans="2:30" x14ac:dyDescent="0.25">
      <c r="B55" s="657">
        <v>2</v>
      </c>
      <c r="C55" s="102">
        <v>7211</v>
      </c>
      <c r="D55" s="102" t="s">
        <v>29</v>
      </c>
      <c r="E55" s="160">
        <v>118.8</v>
      </c>
      <c r="F55" s="161">
        <v>118.8</v>
      </c>
      <c r="G55" s="255">
        <v>128</v>
      </c>
      <c r="H55" s="255">
        <v>128</v>
      </c>
      <c r="I55" s="160">
        <v>102.4</v>
      </c>
      <c r="J55" s="161">
        <v>102.4</v>
      </c>
      <c r="K55" s="160">
        <v>12.8</v>
      </c>
      <c r="L55" s="161">
        <v>12.8</v>
      </c>
      <c r="M55" s="256"/>
      <c r="N55" s="256"/>
      <c r="O55" s="257"/>
      <c r="R55" s="7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8"/>
    </row>
    <row r="56" spans="2:30" x14ac:dyDescent="0.25">
      <c r="B56" s="655"/>
      <c r="C56" s="89">
        <v>7212</v>
      </c>
      <c r="D56" s="89" t="s">
        <v>28</v>
      </c>
      <c r="E56" s="90">
        <v>82.8</v>
      </c>
      <c r="F56" s="91">
        <v>82.8</v>
      </c>
      <c r="G56" s="249">
        <v>89.2</v>
      </c>
      <c r="H56" s="249">
        <v>89.2</v>
      </c>
      <c r="I56" s="90">
        <v>71.400000000000006</v>
      </c>
      <c r="J56" s="91">
        <v>71.400000000000006</v>
      </c>
      <c r="K56" s="90">
        <v>8.9</v>
      </c>
      <c r="L56" s="91">
        <v>8.9</v>
      </c>
      <c r="M56" s="250"/>
      <c r="N56" s="250"/>
      <c r="O56" s="251"/>
      <c r="R56" s="7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8"/>
    </row>
    <row r="57" spans="2:30" x14ac:dyDescent="0.25">
      <c r="B57" s="655"/>
      <c r="C57" s="89">
        <v>7213</v>
      </c>
      <c r="D57" s="89" t="s">
        <v>28</v>
      </c>
      <c r="E57" s="90">
        <v>77.8</v>
      </c>
      <c r="F57" s="91">
        <v>77.8</v>
      </c>
      <c r="G57" s="249">
        <v>83.8</v>
      </c>
      <c r="H57" s="249">
        <v>83.8</v>
      </c>
      <c r="I57" s="90">
        <v>67</v>
      </c>
      <c r="J57" s="91">
        <v>67</v>
      </c>
      <c r="K57" s="90">
        <v>8.4</v>
      </c>
      <c r="L57" s="91">
        <v>8.4</v>
      </c>
      <c r="M57" s="250"/>
      <c r="N57" s="250"/>
      <c r="O57" s="251"/>
      <c r="R57" s="7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8"/>
    </row>
    <row r="58" spans="2:30" x14ac:dyDescent="0.25">
      <c r="B58" s="655"/>
      <c r="C58" s="89">
        <v>7214</v>
      </c>
      <c r="D58" s="89" t="s">
        <v>27</v>
      </c>
      <c r="E58" s="90">
        <v>49.6</v>
      </c>
      <c r="F58" s="91">
        <v>49.6</v>
      </c>
      <c r="G58" s="249">
        <v>53.4</v>
      </c>
      <c r="H58" s="249">
        <v>53.4</v>
      </c>
      <c r="I58" s="90">
        <v>42.7</v>
      </c>
      <c r="J58" s="91">
        <v>42.7</v>
      </c>
      <c r="K58" s="90">
        <v>5.3</v>
      </c>
      <c r="L58" s="91">
        <v>5.3</v>
      </c>
      <c r="M58" s="250"/>
      <c r="N58" s="250"/>
      <c r="O58" s="251"/>
      <c r="R58" s="7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8"/>
    </row>
    <row r="59" spans="2:30" x14ac:dyDescent="0.25">
      <c r="B59" s="655"/>
      <c r="C59" s="89">
        <v>7215</v>
      </c>
      <c r="D59" s="89" t="s">
        <v>27</v>
      </c>
      <c r="E59" s="90">
        <v>44.7</v>
      </c>
      <c r="F59" s="91">
        <v>44.7</v>
      </c>
      <c r="G59" s="249">
        <v>48.1</v>
      </c>
      <c r="H59" s="249">
        <v>48.1</v>
      </c>
      <c r="I59" s="90">
        <v>38.5</v>
      </c>
      <c r="J59" s="91">
        <v>38.5</v>
      </c>
      <c r="K59" s="90">
        <v>4.8</v>
      </c>
      <c r="L59" s="91">
        <v>4.8</v>
      </c>
      <c r="M59" s="250"/>
      <c r="N59" s="250"/>
      <c r="O59" s="251"/>
      <c r="R59" s="7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8"/>
    </row>
    <row r="60" spans="2:30" x14ac:dyDescent="0.25">
      <c r="B60" s="656"/>
      <c r="C60" s="130">
        <v>7216</v>
      </c>
      <c r="D60" s="130" t="s">
        <v>27</v>
      </c>
      <c r="E60" s="153">
        <v>36</v>
      </c>
      <c r="F60" s="154">
        <v>36</v>
      </c>
      <c r="G60" s="252">
        <v>38.799999999999997</v>
      </c>
      <c r="H60" s="252">
        <v>38.799999999999997</v>
      </c>
      <c r="I60" s="153">
        <v>31</v>
      </c>
      <c r="J60" s="154">
        <v>31</v>
      </c>
      <c r="K60" s="153">
        <v>3.9</v>
      </c>
      <c r="L60" s="154">
        <v>3.9</v>
      </c>
      <c r="M60" s="253"/>
      <c r="N60" s="253"/>
      <c r="O60" s="254"/>
      <c r="R60" s="7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8"/>
    </row>
    <row r="61" spans="2:30" x14ac:dyDescent="0.25">
      <c r="B61" s="657">
        <v>3</v>
      </c>
      <c r="C61" s="102">
        <v>7311</v>
      </c>
      <c r="D61" s="102" t="s">
        <v>29</v>
      </c>
      <c r="E61" s="160">
        <v>118.8</v>
      </c>
      <c r="F61" s="161">
        <v>118.8</v>
      </c>
      <c r="G61" s="255">
        <v>128</v>
      </c>
      <c r="H61" s="255">
        <v>128</v>
      </c>
      <c r="I61" s="160">
        <v>102.4</v>
      </c>
      <c r="J61" s="161">
        <v>102.4</v>
      </c>
      <c r="K61" s="160">
        <v>12.8</v>
      </c>
      <c r="L61" s="161">
        <v>12.8</v>
      </c>
      <c r="M61" s="256"/>
      <c r="N61" s="256"/>
      <c r="O61" s="257"/>
      <c r="R61" s="7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8"/>
    </row>
    <row r="62" spans="2:30" x14ac:dyDescent="0.25">
      <c r="B62" s="655"/>
      <c r="C62" s="89">
        <v>7312</v>
      </c>
      <c r="D62" s="89" t="s">
        <v>28</v>
      </c>
      <c r="E62" s="90">
        <v>82.8</v>
      </c>
      <c r="F62" s="91">
        <v>82.8</v>
      </c>
      <c r="G62" s="249">
        <v>89.2</v>
      </c>
      <c r="H62" s="249">
        <v>89.2</v>
      </c>
      <c r="I62" s="90">
        <v>71.400000000000006</v>
      </c>
      <c r="J62" s="91">
        <v>71.400000000000006</v>
      </c>
      <c r="K62" s="90">
        <v>8.9</v>
      </c>
      <c r="L62" s="91">
        <v>8.9</v>
      </c>
      <c r="M62" s="250"/>
      <c r="N62" s="250"/>
      <c r="O62" s="251"/>
      <c r="R62" s="7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8"/>
    </row>
    <row r="63" spans="2:30" x14ac:dyDescent="0.25">
      <c r="B63" s="655"/>
      <c r="C63" s="89">
        <v>7313</v>
      </c>
      <c r="D63" s="89" t="s">
        <v>28</v>
      </c>
      <c r="E63" s="90">
        <v>77.8</v>
      </c>
      <c r="F63" s="91">
        <v>77.8</v>
      </c>
      <c r="G63" s="249">
        <v>83.8</v>
      </c>
      <c r="H63" s="249">
        <v>83.8</v>
      </c>
      <c r="I63" s="90">
        <v>67</v>
      </c>
      <c r="J63" s="91">
        <v>67</v>
      </c>
      <c r="K63" s="90">
        <v>8.4</v>
      </c>
      <c r="L63" s="91">
        <v>8.4</v>
      </c>
      <c r="M63" s="250"/>
      <c r="N63" s="250"/>
      <c r="O63" s="251"/>
      <c r="R63" s="7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8"/>
    </row>
    <row r="64" spans="2:30" x14ac:dyDescent="0.25">
      <c r="B64" s="655"/>
      <c r="C64" s="89">
        <v>7314</v>
      </c>
      <c r="D64" s="89" t="s">
        <v>27</v>
      </c>
      <c r="E64" s="90">
        <v>49.6</v>
      </c>
      <c r="F64" s="91">
        <v>49.6</v>
      </c>
      <c r="G64" s="249">
        <v>53.4</v>
      </c>
      <c r="H64" s="249">
        <v>53.4</v>
      </c>
      <c r="I64" s="90">
        <v>42.7</v>
      </c>
      <c r="J64" s="91">
        <v>42.7</v>
      </c>
      <c r="K64" s="90">
        <v>5.3</v>
      </c>
      <c r="L64" s="91">
        <v>5.3</v>
      </c>
      <c r="M64" s="250"/>
      <c r="N64" s="250"/>
      <c r="O64" s="251"/>
      <c r="R64" s="7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8"/>
    </row>
    <row r="65" spans="2:30" x14ac:dyDescent="0.25">
      <c r="B65" s="655"/>
      <c r="C65" s="89">
        <v>7315</v>
      </c>
      <c r="D65" s="89" t="s">
        <v>27</v>
      </c>
      <c r="E65" s="90">
        <v>44.7</v>
      </c>
      <c r="F65" s="91">
        <v>44.7</v>
      </c>
      <c r="G65" s="249">
        <v>48.1</v>
      </c>
      <c r="H65" s="249">
        <v>48.1</v>
      </c>
      <c r="I65" s="90">
        <v>38.5</v>
      </c>
      <c r="J65" s="91">
        <v>38.5</v>
      </c>
      <c r="K65" s="90">
        <v>4.8</v>
      </c>
      <c r="L65" s="91">
        <v>4.8</v>
      </c>
      <c r="M65" s="250"/>
      <c r="N65" s="250"/>
      <c r="O65" s="251"/>
      <c r="R65" s="7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8"/>
    </row>
    <row r="66" spans="2:30" x14ac:dyDescent="0.25">
      <c r="B66" s="656"/>
      <c r="C66" s="130">
        <v>7316</v>
      </c>
      <c r="D66" s="130" t="s">
        <v>27</v>
      </c>
      <c r="E66" s="153">
        <v>36</v>
      </c>
      <c r="F66" s="154">
        <v>36</v>
      </c>
      <c r="G66" s="252">
        <v>38.799999999999997</v>
      </c>
      <c r="H66" s="252">
        <v>38.799999999999997</v>
      </c>
      <c r="I66" s="153">
        <v>31</v>
      </c>
      <c r="J66" s="154">
        <v>31</v>
      </c>
      <c r="K66" s="153">
        <v>3.9</v>
      </c>
      <c r="L66" s="154">
        <v>3.9</v>
      </c>
      <c r="M66" s="253"/>
      <c r="N66" s="253"/>
      <c r="O66" s="254"/>
      <c r="R66" s="7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8"/>
    </row>
    <row r="67" spans="2:30" x14ac:dyDescent="0.25">
      <c r="B67" s="657">
        <v>4</v>
      </c>
      <c r="C67" s="102">
        <v>7411</v>
      </c>
      <c r="D67" s="102" t="s">
        <v>28</v>
      </c>
      <c r="E67" s="160">
        <v>71.3</v>
      </c>
      <c r="F67" s="161">
        <v>71.3</v>
      </c>
      <c r="G67" s="255">
        <v>76.8</v>
      </c>
      <c r="H67" s="255">
        <v>76.8</v>
      </c>
      <c r="I67" s="160">
        <v>61.4</v>
      </c>
      <c r="J67" s="161">
        <v>61.4</v>
      </c>
      <c r="K67" s="160">
        <v>7.7</v>
      </c>
      <c r="L67" s="161">
        <v>7.7</v>
      </c>
      <c r="M67" s="256"/>
      <c r="N67" s="256"/>
      <c r="O67" s="257"/>
      <c r="R67" s="7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8"/>
    </row>
    <row r="68" spans="2:30" x14ac:dyDescent="0.25">
      <c r="B68" s="655"/>
      <c r="C68" s="89">
        <v>7412</v>
      </c>
      <c r="D68" s="89" t="s">
        <v>27</v>
      </c>
      <c r="E68" s="90">
        <v>47.5</v>
      </c>
      <c r="F68" s="91">
        <v>47.5</v>
      </c>
      <c r="G68" s="249">
        <v>51.1</v>
      </c>
      <c r="H68" s="249">
        <v>51.1</v>
      </c>
      <c r="I68" s="90">
        <v>40.9</v>
      </c>
      <c r="J68" s="91">
        <v>40.9</v>
      </c>
      <c r="K68" s="90">
        <v>5.0999999999999996</v>
      </c>
      <c r="L68" s="91">
        <v>5.0999999999999996</v>
      </c>
      <c r="M68" s="250"/>
      <c r="N68" s="250"/>
      <c r="O68" s="251"/>
      <c r="R68" s="7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8"/>
    </row>
    <row r="69" spans="2:30" x14ac:dyDescent="0.25">
      <c r="B69" s="655"/>
      <c r="C69" s="89">
        <v>7413</v>
      </c>
      <c r="D69" s="89" t="s">
        <v>27</v>
      </c>
      <c r="E69" s="90">
        <v>44.9</v>
      </c>
      <c r="F69" s="91">
        <v>44.9</v>
      </c>
      <c r="G69" s="249">
        <v>48.4</v>
      </c>
      <c r="H69" s="249">
        <v>48.4</v>
      </c>
      <c r="I69" s="90">
        <v>38.700000000000003</v>
      </c>
      <c r="J69" s="91">
        <v>38.700000000000003</v>
      </c>
      <c r="K69" s="90">
        <v>4.8</v>
      </c>
      <c r="L69" s="91">
        <v>4.8</v>
      </c>
      <c r="M69" s="250"/>
      <c r="N69" s="250"/>
      <c r="O69" s="251"/>
      <c r="R69" s="7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8"/>
    </row>
    <row r="70" spans="2:30" x14ac:dyDescent="0.25">
      <c r="B70" s="655"/>
      <c r="C70" s="89">
        <v>7414</v>
      </c>
      <c r="D70" s="89" t="s">
        <v>27</v>
      </c>
      <c r="E70" s="90">
        <v>41.5</v>
      </c>
      <c r="F70" s="91">
        <v>41.5</v>
      </c>
      <c r="G70" s="249">
        <v>44.7</v>
      </c>
      <c r="H70" s="249">
        <v>44.7</v>
      </c>
      <c r="I70" s="90">
        <v>35.799999999999997</v>
      </c>
      <c r="J70" s="91">
        <v>35.799999999999997</v>
      </c>
      <c r="K70" s="90">
        <v>4.5</v>
      </c>
      <c r="L70" s="91">
        <v>4.5</v>
      </c>
      <c r="M70" s="250"/>
      <c r="N70" s="250"/>
      <c r="O70" s="251"/>
      <c r="R70" s="7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8"/>
    </row>
    <row r="71" spans="2:30" x14ac:dyDescent="0.25">
      <c r="B71" s="655"/>
      <c r="C71" s="89">
        <v>7415</v>
      </c>
      <c r="D71" s="89" t="s">
        <v>27</v>
      </c>
      <c r="E71" s="90">
        <v>36.4</v>
      </c>
      <c r="F71" s="91">
        <v>36.4</v>
      </c>
      <c r="G71" s="249">
        <v>39.200000000000003</v>
      </c>
      <c r="H71" s="249">
        <v>39.200000000000003</v>
      </c>
      <c r="I71" s="90">
        <v>31.3</v>
      </c>
      <c r="J71" s="91">
        <v>31.3</v>
      </c>
      <c r="K71" s="90">
        <v>3.9</v>
      </c>
      <c r="L71" s="91">
        <v>3.9</v>
      </c>
      <c r="M71" s="250"/>
      <c r="N71" s="250"/>
      <c r="O71" s="251"/>
      <c r="R71" s="7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8"/>
    </row>
    <row r="72" spans="2:30" ht="16.5" thickBot="1" x14ac:dyDescent="0.3">
      <c r="B72" s="662"/>
      <c r="C72" s="179">
        <v>7416</v>
      </c>
      <c r="D72" s="179" t="s">
        <v>27</v>
      </c>
      <c r="E72" s="180">
        <v>30.8</v>
      </c>
      <c r="F72" s="181">
        <v>30.8</v>
      </c>
      <c r="G72" s="258">
        <v>33.1</v>
      </c>
      <c r="H72" s="258">
        <v>33.1</v>
      </c>
      <c r="I72" s="180">
        <v>26.5</v>
      </c>
      <c r="J72" s="181">
        <v>26.5</v>
      </c>
      <c r="K72" s="180">
        <v>3.3</v>
      </c>
      <c r="L72" s="181">
        <v>3.3</v>
      </c>
      <c r="M72" s="259"/>
      <c r="N72" s="259"/>
      <c r="O72" s="260"/>
      <c r="R72" s="41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3"/>
    </row>
    <row r="73" spans="2:30" ht="16.5" thickBot="1" x14ac:dyDescent="0.3"/>
    <row r="74" spans="2:30" ht="16.5" thickBot="1" x14ac:dyDescent="0.3">
      <c r="B74" s="669" t="s">
        <v>306</v>
      </c>
      <c r="C74" s="670"/>
      <c r="D74" s="670"/>
      <c r="E74" s="670"/>
      <c r="F74" s="670"/>
      <c r="G74" s="670"/>
      <c r="H74" s="670"/>
      <c r="I74" s="670"/>
      <c r="J74" s="670"/>
      <c r="K74" s="670"/>
      <c r="L74" s="670"/>
      <c r="M74" s="670"/>
      <c r="N74" s="670"/>
      <c r="O74" s="671"/>
    </row>
    <row r="75" spans="2:30" ht="15" customHeight="1" x14ac:dyDescent="0.25">
      <c r="B75" s="672" t="s">
        <v>64</v>
      </c>
      <c r="C75" s="658" t="s">
        <v>32</v>
      </c>
      <c r="D75" s="658" t="s">
        <v>30</v>
      </c>
      <c r="E75" s="660" t="s">
        <v>409</v>
      </c>
      <c r="F75" s="636" t="s">
        <v>408</v>
      </c>
      <c r="G75" s="660" t="s">
        <v>407</v>
      </c>
      <c r="H75" s="636" t="s">
        <v>406</v>
      </c>
      <c r="I75" s="660" t="s">
        <v>405</v>
      </c>
      <c r="J75" s="636" t="s">
        <v>404</v>
      </c>
      <c r="K75" s="660" t="s">
        <v>403</v>
      </c>
      <c r="L75" s="636" t="s">
        <v>402</v>
      </c>
      <c r="M75" s="678" t="s">
        <v>331</v>
      </c>
      <c r="N75" s="680" t="s">
        <v>401</v>
      </c>
      <c r="O75" s="638" t="s">
        <v>400</v>
      </c>
    </row>
    <row r="76" spans="2:30" ht="15.75" customHeight="1" thickBot="1" x14ac:dyDescent="0.3">
      <c r="B76" s="673"/>
      <c r="C76" s="659"/>
      <c r="D76" s="659"/>
      <c r="E76" s="661"/>
      <c r="F76" s="637"/>
      <c r="G76" s="661"/>
      <c r="H76" s="637"/>
      <c r="I76" s="661"/>
      <c r="J76" s="637"/>
      <c r="K76" s="661"/>
      <c r="L76" s="637"/>
      <c r="M76" s="679"/>
      <c r="N76" s="681"/>
      <c r="O76" s="639"/>
    </row>
    <row r="77" spans="2:30" x14ac:dyDescent="0.25">
      <c r="B77" s="654">
        <v>1</v>
      </c>
      <c r="C77" s="261">
        <v>7111</v>
      </c>
      <c r="D77" s="261" t="s">
        <v>28</v>
      </c>
      <c r="E77" s="262">
        <v>1.2999999999999999E-2</v>
      </c>
      <c r="F77" s="263">
        <v>1.2999999999999999E-2</v>
      </c>
      <c r="G77" s="264">
        <v>7.8700000000000006E-2</v>
      </c>
      <c r="H77" s="264">
        <v>7.8700000000000006E-2</v>
      </c>
      <c r="I77" s="262">
        <v>0.15820000000000001</v>
      </c>
      <c r="J77" s="263">
        <v>0.15820000000000001</v>
      </c>
      <c r="K77" s="262">
        <v>0.43659999999999999</v>
      </c>
      <c r="L77" s="263">
        <v>0.43659999999999999</v>
      </c>
      <c r="M77" s="265">
        <v>0.222</v>
      </c>
      <c r="N77" s="27">
        <f>G77/E77</f>
        <v>6.0538461538461545</v>
      </c>
      <c r="O77" s="22">
        <f>I77/E77</f>
        <v>12.16923076923077</v>
      </c>
    </row>
    <row r="78" spans="2:30" x14ac:dyDescent="0.25">
      <c r="B78" s="655"/>
      <c r="C78" s="89">
        <v>7112</v>
      </c>
      <c r="D78" s="89" t="s">
        <v>27</v>
      </c>
      <c r="E78" s="197">
        <v>1.5699999999999999E-2</v>
      </c>
      <c r="F78" s="198">
        <v>1.5699999999999999E-2</v>
      </c>
      <c r="G78" s="250">
        <v>8.8300000000000003E-2</v>
      </c>
      <c r="H78" s="250">
        <v>8.8300000000000003E-2</v>
      </c>
      <c r="I78" s="197">
        <v>0.16930000000000001</v>
      </c>
      <c r="J78" s="198">
        <v>0.16930000000000001</v>
      </c>
      <c r="K78" s="197">
        <v>0.45269999999999999</v>
      </c>
      <c r="L78" s="198">
        <v>0.45269999999999999</v>
      </c>
      <c r="M78" s="56">
        <v>0.26600000000000001</v>
      </c>
      <c r="N78" s="27">
        <f>G78/E78</f>
        <v>5.6242038216560513</v>
      </c>
      <c r="O78" s="22">
        <f>I78/E78</f>
        <v>10.783439490445861</v>
      </c>
    </row>
    <row r="79" spans="2:30" x14ac:dyDescent="0.25">
      <c r="B79" s="655"/>
      <c r="C79" s="89">
        <v>7113</v>
      </c>
      <c r="D79" s="89" t="s">
        <v>27</v>
      </c>
      <c r="E79" s="197">
        <v>1.5699999999999999E-2</v>
      </c>
      <c r="F79" s="198">
        <v>1.5699999999999999E-2</v>
      </c>
      <c r="G79" s="250">
        <v>9.7799999999999998E-2</v>
      </c>
      <c r="H79" s="250">
        <v>9.7799999999999998E-2</v>
      </c>
      <c r="I79" s="197">
        <v>0.1973</v>
      </c>
      <c r="J79" s="198">
        <v>0.1973</v>
      </c>
      <c r="K79" s="197">
        <v>0.54549999999999998</v>
      </c>
      <c r="L79" s="198">
        <v>0.54549999999999998</v>
      </c>
      <c r="M79" s="56">
        <v>0.21199999999999999</v>
      </c>
      <c r="N79" s="27">
        <f t="shared" ref="N79:N82" si="22">G79/E79</f>
        <v>6.2292993630573257</v>
      </c>
      <c r="O79" s="22">
        <f t="shared" ref="O79:O81" si="23">I79/E79</f>
        <v>12.566878980891721</v>
      </c>
    </row>
    <row r="80" spans="2:30" x14ac:dyDescent="0.25">
      <c r="B80" s="655"/>
      <c r="C80" s="89">
        <v>7114</v>
      </c>
      <c r="D80" s="89" t="s">
        <v>27</v>
      </c>
      <c r="E80" s="197">
        <v>1.5699999999999999E-2</v>
      </c>
      <c r="F80" s="198">
        <v>1.5699999999999999E-2</v>
      </c>
      <c r="G80" s="250">
        <v>0.10829999999999999</v>
      </c>
      <c r="H80" s="250">
        <v>0.10829999999999999</v>
      </c>
      <c r="I80" s="197">
        <v>0.23719999999999999</v>
      </c>
      <c r="J80" s="198">
        <v>0.23719999999999999</v>
      </c>
      <c r="K80" s="197">
        <v>0.68859999999999999</v>
      </c>
      <c r="L80" s="198">
        <v>0.68859999999999999</v>
      </c>
      <c r="M80" s="56">
        <v>0.158</v>
      </c>
      <c r="N80" s="27">
        <f t="shared" si="22"/>
        <v>6.8980891719745223</v>
      </c>
      <c r="O80" s="22">
        <f t="shared" si="23"/>
        <v>15.108280254777071</v>
      </c>
    </row>
    <row r="81" spans="2:15" x14ac:dyDescent="0.25">
      <c r="B81" s="655"/>
      <c r="C81" s="89">
        <v>7115</v>
      </c>
      <c r="D81" s="89" t="s">
        <v>27</v>
      </c>
      <c r="E81" s="197">
        <v>1.5699999999999999E-2</v>
      </c>
      <c r="F81" s="198">
        <v>1.5699999999999999E-2</v>
      </c>
      <c r="G81" s="250">
        <v>9.3899999999999997E-2</v>
      </c>
      <c r="H81" s="250">
        <v>9.3899999999999997E-2</v>
      </c>
      <c r="I81" s="197">
        <v>0.2772</v>
      </c>
      <c r="J81" s="198">
        <v>0.2772</v>
      </c>
      <c r="K81" s="197">
        <v>0.91839999999999999</v>
      </c>
      <c r="L81" s="198">
        <v>0.91839999999999999</v>
      </c>
      <c r="M81" s="56">
        <v>0.104</v>
      </c>
      <c r="N81" s="27">
        <f t="shared" si="22"/>
        <v>5.9808917197452232</v>
      </c>
      <c r="O81" s="22">
        <f t="shared" si="23"/>
        <v>17.656050955414013</v>
      </c>
    </row>
    <row r="82" spans="2:15" x14ac:dyDescent="0.25">
      <c r="B82" s="656"/>
      <c r="C82" s="130">
        <v>7116</v>
      </c>
      <c r="D82" s="130" t="s">
        <v>27</v>
      </c>
      <c r="E82" s="211">
        <v>1.5699999999999999E-2</v>
      </c>
      <c r="F82" s="212">
        <v>1.5699999999999999E-2</v>
      </c>
      <c r="G82" s="253">
        <v>9.0700000000000003E-2</v>
      </c>
      <c r="H82" s="253">
        <v>9.0700000000000003E-2</v>
      </c>
      <c r="I82" s="211">
        <v>0.28039999999999998</v>
      </c>
      <c r="J82" s="212">
        <v>0.28039999999999998</v>
      </c>
      <c r="K82" s="211">
        <v>0.94440000000000002</v>
      </c>
      <c r="L82" s="212">
        <v>0.94440000000000002</v>
      </c>
      <c r="M82" s="266">
        <v>5.0999999999999997E-2</v>
      </c>
      <c r="N82" s="133">
        <f t="shared" si="22"/>
        <v>5.7770700636942678</v>
      </c>
      <c r="O82" s="216">
        <f>I82/E82</f>
        <v>17.859872611464969</v>
      </c>
    </row>
    <row r="83" spans="2:15" x14ac:dyDescent="0.25">
      <c r="B83" s="657">
        <v>2</v>
      </c>
      <c r="C83" s="102">
        <v>7211</v>
      </c>
      <c r="D83" s="102" t="s">
        <v>29</v>
      </c>
      <c r="E83" s="225">
        <v>1.12E-2</v>
      </c>
      <c r="F83" s="226">
        <v>1.12E-2</v>
      </c>
      <c r="G83" s="256">
        <v>7.2999999999999995E-2</v>
      </c>
      <c r="H83" s="256">
        <v>7.2999999999999995E-2</v>
      </c>
      <c r="I83" s="225">
        <v>0.12089999999999999</v>
      </c>
      <c r="J83" s="226">
        <v>0.12089999999999999</v>
      </c>
      <c r="K83" s="225">
        <v>0.28839999999999999</v>
      </c>
      <c r="L83" s="226">
        <v>0.28839999999999999</v>
      </c>
      <c r="M83" s="267">
        <v>0.32600000000000001</v>
      </c>
      <c r="N83" s="105">
        <f>G83/E83</f>
        <v>6.5178571428571423</v>
      </c>
      <c r="O83" s="268">
        <f>I83/E83</f>
        <v>10.794642857142856</v>
      </c>
    </row>
    <row r="84" spans="2:15" x14ac:dyDescent="0.25">
      <c r="B84" s="655"/>
      <c r="C84" s="89">
        <v>7212</v>
      </c>
      <c r="D84" s="89" t="s">
        <v>28</v>
      </c>
      <c r="E84" s="197">
        <v>1.2999999999999999E-2</v>
      </c>
      <c r="F84" s="198">
        <v>1.2999999999999999E-2</v>
      </c>
      <c r="G84" s="250">
        <v>9.1300000000000006E-2</v>
      </c>
      <c r="H84" s="250">
        <v>9.1300000000000006E-2</v>
      </c>
      <c r="I84" s="197">
        <v>0.14099999999999999</v>
      </c>
      <c r="J84" s="198">
        <v>0.14099999999999999</v>
      </c>
      <c r="K84" s="197">
        <v>0.31509999999999999</v>
      </c>
      <c r="L84" s="198">
        <v>0.31509999999999999</v>
      </c>
      <c r="M84" s="269">
        <v>0.36899999999999999</v>
      </c>
      <c r="N84" s="27">
        <f>G84/E84</f>
        <v>7.0230769230769239</v>
      </c>
      <c r="O84" s="22">
        <f>I84/E84</f>
        <v>10.846153846153845</v>
      </c>
    </row>
    <row r="85" spans="2:15" x14ac:dyDescent="0.25">
      <c r="B85" s="655"/>
      <c r="C85" s="89">
        <v>7213</v>
      </c>
      <c r="D85" s="89" t="s">
        <v>28</v>
      </c>
      <c r="E85" s="197">
        <v>1.2999999999999999E-2</v>
      </c>
      <c r="F85" s="198">
        <v>1.2999999999999999E-2</v>
      </c>
      <c r="G85" s="250">
        <v>7.9600000000000004E-2</v>
      </c>
      <c r="H85" s="250">
        <v>7.9600000000000004E-2</v>
      </c>
      <c r="I85" s="197">
        <v>0.14099999999999999</v>
      </c>
      <c r="J85" s="198">
        <v>0.14099999999999999</v>
      </c>
      <c r="K85" s="197">
        <v>0.35599999999999998</v>
      </c>
      <c r="L85" s="198">
        <v>0.35599999999999998</v>
      </c>
      <c r="M85" s="269">
        <v>0.29499999999999998</v>
      </c>
      <c r="N85" s="27">
        <f t="shared" ref="N85:N88" si="24">G85/E85</f>
        <v>6.1230769230769235</v>
      </c>
      <c r="O85" s="22">
        <f t="shared" ref="O85:O88" si="25">I85/E85</f>
        <v>10.846153846153845</v>
      </c>
    </row>
    <row r="86" spans="2:15" x14ac:dyDescent="0.25">
      <c r="B86" s="655"/>
      <c r="C86" s="89">
        <v>7214</v>
      </c>
      <c r="D86" s="89" t="s">
        <v>27</v>
      </c>
      <c r="E86" s="197">
        <v>1.5699999999999999E-2</v>
      </c>
      <c r="F86" s="198">
        <v>1.5699999999999999E-2</v>
      </c>
      <c r="G86" s="250">
        <v>0.1003</v>
      </c>
      <c r="H86" s="250">
        <v>0.1003</v>
      </c>
      <c r="I86" s="197">
        <v>0.16930000000000001</v>
      </c>
      <c r="J86" s="198">
        <v>0.16930000000000001</v>
      </c>
      <c r="K86" s="197">
        <v>0.41060000000000002</v>
      </c>
      <c r="L86" s="198">
        <v>0.41060000000000002</v>
      </c>
      <c r="M86" s="269">
        <v>0.317</v>
      </c>
      <c r="N86" s="27">
        <f t="shared" si="24"/>
        <v>6.3885350318471339</v>
      </c>
      <c r="O86" s="22">
        <f t="shared" si="25"/>
        <v>10.783439490445861</v>
      </c>
    </row>
    <row r="87" spans="2:15" x14ac:dyDescent="0.25">
      <c r="B87" s="655"/>
      <c r="C87" s="89">
        <v>7215</v>
      </c>
      <c r="D87" s="89" t="s">
        <v>27</v>
      </c>
      <c r="E87" s="197">
        <v>1.5699999999999999E-2</v>
      </c>
      <c r="F87" s="198">
        <v>1.5699999999999999E-2</v>
      </c>
      <c r="G87" s="250">
        <v>9.8900000000000002E-2</v>
      </c>
      <c r="H87" s="250">
        <v>9.8900000000000002E-2</v>
      </c>
      <c r="I87" s="197">
        <v>0.19980000000000001</v>
      </c>
      <c r="J87" s="198">
        <v>0.19980000000000001</v>
      </c>
      <c r="K87" s="197">
        <v>0.55310000000000004</v>
      </c>
      <c r="L87" s="198">
        <v>0.55310000000000004</v>
      </c>
      <c r="M87" s="269">
        <v>0.20899999999999999</v>
      </c>
      <c r="N87" s="27">
        <f t="shared" si="24"/>
        <v>6.2993630573248414</v>
      </c>
      <c r="O87" s="22">
        <f t="shared" si="25"/>
        <v>12.726114649681531</v>
      </c>
    </row>
    <row r="88" spans="2:15" x14ac:dyDescent="0.25">
      <c r="B88" s="656"/>
      <c r="C88" s="130">
        <v>7216</v>
      </c>
      <c r="D88" s="130" t="s">
        <v>27</v>
      </c>
      <c r="E88" s="211">
        <v>1.5699999999999999E-2</v>
      </c>
      <c r="F88" s="212">
        <v>1.5699999999999999E-2</v>
      </c>
      <c r="G88" s="253">
        <v>9.1499999999999998E-2</v>
      </c>
      <c r="H88" s="253">
        <v>9.1499999999999998E-2</v>
      </c>
      <c r="I88" s="211">
        <v>0.2797</v>
      </c>
      <c r="J88" s="212">
        <v>0.2797</v>
      </c>
      <c r="K88" s="211">
        <v>0.93820000000000003</v>
      </c>
      <c r="L88" s="212">
        <v>0.93820000000000003</v>
      </c>
      <c r="M88" s="270">
        <v>0.10100000000000001</v>
      </c>
      <c r="N88" s="133">
        <f t="shared" si="24"/>
        <v>5.8280254777070066</v>
      </c>
      <c r="O88" s="216">
        <f t="shared" si="25"/>
        <v>17.815286624203825</v>
      </c>
    </row>
    <row r="89" spans="2:15" x14ac:dyDescent="0.25">
      <c r="B89" s="657">
        <v>3</v>
      </c>
      <c r="C89" s="102">
        <v>7311</v>
      </c>
      <c r="D89" s="102" t="s">
        <v>29</v>
      </c>
      <c r="E89" s="225">
        <v>1.12E-2</v>
      </c>
      <c r="F89" s="226">
        <v>1.12E-2</v>
      </c>
      <c r="G89" s="256">
        <v>7.2999999999999995E-2</v>
      </c>
      <c r="H89" s="256">
        <v>7.2999999999999995E-2</v>
      </c>
      <c r="I89" s="225">
        <v>0.12089999999999999</v>
      </c>
      <c r="J89" s="226">
        <v>0.12089999999999999</v>
      </c>
      <c r="K89" s="225">
        <v>0.28839999999999999</v>
      </c>
      <c r="L89" s="226">
        <v>0.28839999999999999</v>
      </c>
      <c r="M89" s="56">
        <v>0.32600000000000001</v>
      </c>
      <c r="N89" s="27">
        <f>G89/E89</f>
        <v>6.5178571428571423</v>
      </c>
      <c r="O89" s="22">
        <f>I89/E89</f>
        <v>10.794642857142856</v>
      </c>
    </row>
    <row r="90" spans="2:15" x14ac:dyDescent="0.25">
      <c r="B90" s="655"/>
      <c r="C90" s="89">
        <v>7312</v>
      </c>
      <c r="D90" s="89" t="s">
        <v>28</v>
      </c>
      <c r="E90" s="197">
        <v>1.2999999999999999E-2</v>
      </c>
      <c r="F90" s="198">
        <v>1.2999999999999999E-2</v>
      </c>
      <c r="G90" s="250">
        <v>9.1300000000000006E-2</v>
      </c>
      <c r="H90" s="250">
        <v>9.1300000000000006E-2</v>
      </c>
      <c r="I90" s="197">
        <v>0.14099999999999999</v>
      </c>
      <c r="J90" s="198">
        <v>0.14099999999999999</v>
      </c>
      <c r="K90" s="197">
        <v>0.31509999999999999</v>
      </c>
      <c r="L90" s="198">
        <v>0.31509999999999999</v>
      </c>
      <c r="M90" s="56">
        <v>0.36899999999999999</v>
      </c>
      <c r="N90" s="27">
        <f>G90/E90</f>
        <v>7.0230769230769239</v>
      </c>
      <c r="O90" s="22">
        <f>I90/E90</f>
        <v>10.846153846153845</v>
      </c>
    </row>
    <row r="91" spans="2:15" x14ac:dyDescent="0.25">
      <c r="B91" s="655"/>
      <c r="C91" s="89">
        <v>7313</v>
      </c>
      <c r="D91" s="89" t="s">
        <v>28</v>
      </c>
      <c r="E91" s="197">
        <v>1.2999999999999999E-2</v>
      </c>
      <c r="F91" s="198">
        <v>1.2999999999999999E-2</v>
      </c>
      <c r="G91" s="250">
        <v>7.9600000000000004E-2</v>
      </c>
      <c r="H91" s="250">
        <v>7.9600000000000004E-2</v>
      </c>
      <c r="I91" s="197">
        <v>0.14099999999999999</v>
      </c>
      <c r="J91" s="198">
        <v>0.14099999999999999</v>
      </c>
      <c r="K91" s="197">
        <v>0.35599999999999998</v>
      </c>
      <c r="L91" s="198">
        <v>0.35599999999999998</v>
      </c>
      <c r="M91" s="56">
        <v>0.29499999999999998</v>
      </c>
      <c r="N91" s="27">
        <f t="shared" ref="N91:N94" si="26">G91/E91</f>
        <v>6.1230769230769235</v>
      </c>
      <c r="O91" s="22">
        <f t="shared" ref="O91:O94" si="27">I91/E91</f>
        <v>10.846153846153845</v>
      </c>
    </row>
    <row r="92" spans="2:15" x14ac:dyDescent="0.25">
      <c r="B92" s="655"/>
      <c r="C92" s="89">
        <v>7314</v>
      </c>
      <c r="D92" s="89" t="s">
        <v>27</v>
      </c>
      <c r="E92" s="197">
        <v>1.5699999999999999E-2</v>
      </c>
      <c r="F92" s="198">
        <v>1.5699999999999999E-2</v>
      </c>
      <c r="G92" s="250">
        <v>0.1003</v>
      </c>
      <c r="H92" s="250">
        <v>0.1003</v>
      </c>
      <c r="I92" s="197">
        <v>0.16930000000000001</v>
      </c>
      <c r="J92" s="198">
        <v>0.16930000000000001</v>
      </c>
      <c r="K92" s="197">
        <v>0.41060000000000002</v>
      </c>
      <c r="L92" s="198">
        <v>0.41060000000000002</v>
      </c>
      <c r="M92" s="56">
        <v>0.317</v>
      </c>
      <c r="N92" s="27">
        <f t="shared" si="26"/>
        <v>6.3885350318471339</v>
      </c>
      <c r="O92" s="22">
        <f t="shared" si="27"/>
        <v>10.783439490445861</v>
      </c>
    </row>
    <row r="93" spans="2:15" x14ac:dyDescent="0.25">
      <c r="B93" s="655"/>
      <c r="C93" s="89">
        <v>7315</v>
      </c>
      <c r="D93" s="89" t="s">
        <v>27</v>
      </c>
      <c r="E93" s="197">
        <v>1.5699999999999999E-2</v>
      </c>
      <c r="F93" s="198">
        <v>1.5699999999999999E-2</v>
      </c>
      <c r="G93" s="250">
        <v>9.8900000000000002E-2</v>
      </c>
      <c r="H93" s="250">
        <v>9.8900000000000002E-2</v>
      </c>
      <c r="I93" s="197">
        <v>0.19980000000000001</v>
      </c>
      <c r="J93" s="198">
        <v>0.19980000000000001</v>
      </c>
      <c r="K93" s="197">
        <v>0.55310000000000004</v>
      </c>
      <c r="L93" s="198">
        <v>0.55310000000000004</v>
      </c>
      <c r="M93" s="56">
        <v>0.20899999999999999</v>
      </c>
      <c r="N93" s="27">
        <f t="shared" si="26"/>
        <v>6.2993630573248414</v>
      </c>
      <c r="O93" s="22">
        <f t="shared" si="27"/>
        <v>12.726114649681531</v>
      </c>
    </row>
    <row r="94" spans="2:15" x14ac:dyDescent="0.25">
      <c r="B94" s="656"/>
      <c r="C94" s="130">
        <v>7316</v>
      </c>
      <c r="D94" s="130" t="s">
        <v>27</v>
      </c>
      <c r="E94" s="211">
        <v>1.5699999999999999E-2</v>
      </c>
      <c r="F94" s="212">
        <v>1.5699999999999999E-2</v>
      </c>
      <c r="G94" s="253">
        <v>9.1499999999999998E-2</v>
      </c>
      <c r="H94" s="253">
        <v>9.1499999999999998E-2</v>
      </c>
      <c r="I94" s="211">
        <v>0.2797</v>
      </c>
      <c r="J94" s="212">
        <v>0.2797</v>
      </c>
      <c r="K94" s="211">
        <v>0.93820000000000003</v>
      </c>
      <c r="L94" s="212">
        <v>0.93820000000000003</v>
      </c>
      <c r="M94" s="266">
        <v>0.10100000000000001</v>
      </c>
      <c r="N94" s="27">
        <f t="shared" si="26"/>
        <v>5.8280254777070066</v>
      </c>
      <c r="O94" s="22">
        <f t="shared" si="27"/>
        <v>17.815286624203825</v>
      </c>
    </row>
    <row r="95" spans="2:15" x14ac:dyDescent="0.25">
      <c r="B95" s="657">
        <v>4</v>
      </c>
      <c r="C95" s="102">
        <v>7411</v>
      </c>
      <c r="D95" s="102" t="s">
        <v>28</v>
      </c>
      <c r="E95" s="225">
        <v>1.2999999999999999E-2</v>
      </c>
      <c r="F95" s="226">
        <v>1.2999999999999999E-2</v>
      </c>
      <c r="G95" s="256">
        <v>7.8700000000000006E-2</v>
      </c>
      <c r="H95" s="256">
        <v>7.8700000000000006E-2</v>
      </c>
      <c r="I95" s="225">
        <v>0.15820000000000001</v>
      </c>
      <c r="J95" s="226">
        <v>0.15820000000000001</v>
      </c>
      <c r="K95" s="225">
        <v>0.43659999999999999</v>
      </c>
      <c r="L95" s="226">
        <v>0.43659999999999999</v>
      </c>
      <c r="M95" s="271">
        <v>0.222</v>
      </c>
      <c r="N95" s="105">
        <f>G95/E95</f>
        <v>6.0538461538461545</v>
      </c>
      <c r="O95" s="268">
        <f>I95/E95</f>
        <v>12.16923076923077</v>
      </c>
    </row>
    <row r="96" spans="2:15" x14ac:dyDescent="0.25">
      <c r="B96" s="655"/>
      <c r="C96" s="89">
        <v>7412</v>
      </c>
      <c r="D96" s="89" t="s">
        <v>27</v>
      </c>
      <c r="E96" s="197">
        <v>1.5699999999999999E-2</v>
      </c>
      <c r="F96" s="198">
        <v>1.5699999999999999E-2</v>
      </c>
      <c r="G96" s="250">
        <v>8.8300000000000003E-2</v>
      </c>
      <c r="H96" s="250">
        <v>8.8300000000000003E-2</v>
      </c>
      <c r="I96" s="197">
        <v>0.16930000000000001</v>
      </c>
      <c r="J96" s="198">
        <v>0.16930000000000001</v>
      </c>
      <c r="K96" s="197">
        <v>0.45269999999999999</v>
      </c>
      <c r="L96" s="198">
        <v>0.45269999999999999</v>
      </c>
      <c r="M96" s="56">
        <v>0.26600000000000001</v>
      </c>
      <c r="N96" s="27">
        <f>G96/E96</f>
        <v>5.6242038216560513</v>
      </c>
      <c r="O96" s="22">
        <f>I96/E96</f>
        <v>10.783439490445861</v>
      </c>
    </row>
    <row r="97" spans="2:15" x14ac:dyDescent="0.25">
      <c r="B97" s="655"/>
      <c r="C97" s="89">
        <v>7413</v>
      </c>
      <c r="D97" s="89" t="s">
        <v>27</v>
      </c>
      <c r="E97" s="197">
        <v>1.5699999999999999E-2</v>
      </c>
      <c r="F97" s="198">
        <v>1.5699999999999999E-2</v>
      </c>
      <c r="G97" s="250">
        <v>9.7799999999999998E-2</v>
      </c>
      <c r="H97" s="250">
        <v>9.7799999999999998E-2</v>
      </c>
      <c r="I97" s="197">
        <v>0.1973</v>
      </c>
      <c r="J97" s="198">
        <v>0.1973</v>
      </c>
      <c r="K97" s="197">
        <v>0.54549999999999998</v>
      </c>
      <c r="L97" s="198">
        <v>0.54549999999999998</v>
      </c>
      <c r="M97" s="56">
        <v>0.21199999999999999</v>
      </c>
      <c r="N97" s="27">
        <f t="shared" ref="N97:N100" si="28">G97/E97</f>
        <v>6.2292993630573257</v>
      </c>
      <c r="O97" s="22">
        <f t="shared" ref="O97:O100" si="29">I97/E97</f>
        <v>12.566878980891721</v>
      </c>
    </row>
    <row r="98" spans="2:15" x14ac:dyDescent="0.25">
      <c r="B98" s="655"/>
      <c r="C98" s="89">
        <v>7414</v>
      </c>
      <c r="D98" s="89" t="s">
        <v>27</v>
      </c>
      <c r="E98" s="197">
        <v>1.5699999999999999E-2</v>
      </c>
      <c r="F98" s="198">
        <v>1.5699999999999999E-2</v>
      </c>
      <c r="G98" s="250">
        <v>0.10829999999999999</v>
      </c>
      <c r="H98" s="250">
        <v>0.10829999999999999</v>
      </c>
      <c r="I98" s="197">
        <v>0.23719999999999999</v>
      </c>
      <c r="J98" s="198">
        <v>0.23719999999999999</v>
      </c>
      <c r="K98" s="197">
        <v>0.68859999999999999</v>
      </c>
      <c r="L98" s="198">
        <v>0.68859999999999999</v>
      </c>
      <c r="M98" s="56">
        <v>0.158</v>
      </c>
      <c r="N98" s="27">
        <f t="shared" si="28"/>
        <v>6.8980891719745223</v>
      </c>
      <c r="O98" s="22">
        <f t="shared" si="29"/>
        <v>15.108280254777071</v>
      </c>
    </row>
    <row r="99" spans="2:15" x14ac:dyDescent="0.25">
      <c r="B99" s="655"/>
      <c r="C99" s="89">
        <v>7415</v>
      </c>
      <c r="D99" s="89" t="s">
        <v>27</v>
      </c>
      <c r="E99" s="197">
        <v>1.5699999999999999E-2</v>
      </c>
      <c r="F99" s="198">
        <v>1.5699999999999999E-2</v>
      </c>
      <c r="G99" s="250">
        <v>9.3899999999999997E-2</v>
      </c>
      <c r="H99" s="250">
        <v>9.3899999999999997E-2</v>
      </c>
      <c r="I99" s="197">
        <v>0.2772</v>
      </c>
      <c r="J99" s="198">
        <v>0.2772</v>
      </c>
      <c r="K99" s="197">
        <v>0.91839999999999999</v>
      </c>
      <c r="L99" s="198">
        <v>0.91839999999999999</v>
      </c>
      <c r="M99" s="56">
        <v>0.104</v>
      </c>
      <c r="N99" s="27">
        <f t="shared" si="28"/>
        <v>5.9808917197452232</v>
      </c>
      <c r="O99" s="22">
        <f t="shared" si="29"/>
        <v>17.656050955414013</v>
      </c>
    </row>
    <row r="100" spans="2:15" ht="16.5" thickBot="1" x14ac:dyDescent="0.3">
      <c r="B100" s="662"/>
      <c r="C100" s="179">
        <v>7416</v>
      </c>
      <c r="D100" s="179" t="s">
        <v>27</v>
      </c>
      <c r="E100" s="238">
        <v>1.5699999999999999E-2</v>
      </c>
      <c r="F100" s="239">
        <v>1.5699999999999999E-2</v>
      </c>
      <c r="G100" s="259">
        <v>9.0700000000000003E-2</v>
      </c>
      <c r="H100" s="259">
        <v>9.0700000000000003E-2</v>
      </c>
      <c r="I100" s="238">
        <v>0.28039999999999998</v>
      </c>
      <c r="J100" s="239">
        <v>0.28039999999999998</v>
      </c>
      <c r="K100" s="238">
        <v>0.94440000000000002</v>
      </c>
      <c r="L100" s="239">
        <v>0.94440000000000002</v>
      </c>
      <c r="M100" s="78">
        <v>5.0999999999999997E-2</v>
      </c>
      <c r="N100" s="38">
        <f t="shared" si="28"/>
        <v>5.7770700636942678</v>
      </c>
      <c r="O100" s="35">
        <f t="shared" si="29"/>
        <v>17.859872611464969</v>
      </c>
    </row>
  </sheetData>
  <mergeCells count="206">
    <mergeCell ref="BC7:BF7"/>
    <mergeCell ref="BC8:BF8"/>
    <mergeCell ref="BC9:BF9"/>
    <mergeCell ref="BG12:BG13"/>
    <mergeCell ref="BM12:BM13"/>
    <mergeCell ref="BN11:BS11"/>
    <mergeCell ref="BS12:BS13"/>
    <mergeCell ref="BN21:BS21"/>
    <mergeCell ref="BS22:BS23"/>
    <mergeCell ref="BO22:BO23"/>
    <mergeCell ref="BP22:BP23"/>
    <mergeCell ref="BQ22:BQ23"/>
    <mergeCell ref="BR22:BR23"/>
    <mergeCell ref="BO12:BO13"/>
    <mergeCell ref="BP12:BP13"/>
    <mergeCell ref="BQ12:BQ13"/>
    <mergeCell ref="BR12:BR13"/>
    <mergeCell ref="AI25:AI28"/>
    <mergeCell ref="AJ25:AK28"/>
    <mergeCell ref="M75:M76"/>
    <mergeCell ref="N75:N76"/>
    <mergeCell ref="M25:M26"/>
    <mergeCell ref="N25:N26"/>
    <mergeCell ref="M3:M4"/>
    <mergeCell ref="N3:N4"/>
    <mergeCell ref="BN22:BN23"/>
    <mergeCell ref="BB11:BF11"/>
    <mergeCell ref="BH11:BL11"/>
    <mergeCell ref="BB12:BB13"/>
    <mergeCell ref="BC12:BC13"/>
    <mergeCell ref="BD12:BD13"/>
    <mergeCell ref="BE12:BE13"/>
    <mergeCell ref="BF12:BF13"/>
    <mergeCell ref="BH12:BH13"/>
    <mergeCell ref="BI12:BI13"/>
    <mergeCell ref="BK12:BK13"/>
    <mergeCell ref="BL12:BL13"/>
    <mergeCell ref="BN12:BN13"/>
    <mergeCell ref="BJ12:BJ13"/>
    <mergeCell ref="Q35:AG35"/>
    <mergeCell ref="AI9:AI12"/>
    <mergeCell ref="AC14:AG14"/>
    <mergeCell ref="Q15:R15"/>
    <mergeCell ref="Q16:R16"/>
    <mergeCell ref="Q30:R30"/>
    <mergeCell ref="S30:W30"/>
    <mergeCell ref="X30:AB30"/>
    <mergeCell ref="AC30:AG30"/>
    <mergeCell ref="Q20:R20"/>
    <mergeCell ref="Q21:R21"/>
    <mergeCell ref="Q22:R22"/>
    <mergeCell ref="Q24:AG24"/>
    <mergeCell ref="Q25:R25"/>
    <mergeCell ref="S25:W25"/>
    <mergeCell ref="X25:AB25"/>
    <mergeCell ref="AC25:AG25"/>
    <mergeCell ref="F47:F48"/>
    <mergeCell ref="G47:G48"/>
    <mergeCell ref="D47:D48"/>
    <mergeCell ref="C47:C48"/>
    <mergeCell ref="B47:B48"/>
    <mergeCell ref="Q17:R17"/>
    <mergeCell ref="Q18:AG18"/>
    <mergeCell ref="Q19:R19"/>
    <mergeCell ref="S19:W19"/>
    <mergeCell ref="X19:AB19"/>
    <mergeCell ref="AC19:AG19"/>
    <mergeCell ref="Q41:R41"/>
    <mergeCell ref="S41:W41"/>
    <mergeCell ref="X41:AB41"/>
    <mergeCell ref="AC41:AG41"/>
    <mergeCell ref="Q42:R42"/>
    <mergeCell ref="Q43:R43"/>
    <mergeCell ref="Q44:R44"/>
    <mergeCell ref="Q28:R28"/>
    <mergeCell ref="Q29:AG29"/>
    <mergeCell ref="B67:B72"/>
    <mergeCell ref="E47:E48"/>
    <mergeCell ref="AL3:AL4"/>
    <mergeCell ref="AJ21:AK24"/>
    <mergeCell ref="AI21:AI24"/>
    <mergeCell ref="AI29:AI32"/>
    <mergeCell ref="AJ29:AK32"/>
    <mergeCell ref="AI13:AI16"/>
    <mergeCell ref="AJ13:AK16"/>
    <mergeCell ref="AI17:AI20"/>
    <mergeCell ref="AJ17:AK20"/>
    <mergeCell ref="AJ3:AK4"/>
    <mergeCell ref="B5:B10"/>
    <mergeCell ref="B11:B16"/>
    <mergeCell ref="B17:B22"/>
    <mergeCell ref="B55:B60"/>
    <mergeCell ref="B61:B66"/>
    <mergeCell ref="Q8:R8"/>
    <mergeCell ref="Q11:R11"/>
    <mergeCell ref="Q13:AG13"/>
    <mergeCell ref="Q14:R14"/>
    <mergeCell ref="S14:W14"/>
    <mergeCell ref="B49:B54"/>
    <mergeCell ref="S8:W8"/>
    <mergeCell ref="Q2:AG2"/>
    <mergeCell ref="Q7:AG7"/>
    <mergeCell ref="AM3:AM4"/>
    <mergeCell ref="AN3:AN4"/>
    <mergeCell ref="AP3:AP4"/>
    <mergeCell ref="AI5:AI8"/>
    <mergeCell ref="AJ5:AK8"/>
    <mergeCell ref="AO3:AO4"/>
    <mergeCell ref="X8:AB8"/>
    <mergeCell ref="AC8:AG8"/>
    <mergeCell ref="X3:AB3"/>
    <mergeCell ref="AC3:AG3"/>
    <mergeCell ref="Q5:R5"/>
    <mergeCell ref="S3:W3"/>
    <mergeCell ref="Q6:R6"/>
    <mergeCell ref="AV3:AV4"/>
    <mergeCell ref="AW3:AW4"/>
    <mergeCell ref="AX3:AX4"/>
    <mergeCell ref="AY3:AY4"/>
    <mergeCell ref="AZ3:AZ4"/>
    <mergeCell ref="AI2:AZ2"/>
    <mergeCell ref="AR3:AR4"/>
    <mergeCell ref="AQ3:AQ4"/>
    <mergeCell ref="BC3:BF3"/>
    <mergeCell ref="BC4:BF4"/>
    <mergeCell ref="BC5:BF5"/>
    <mergeCell ref="BC6:BF6"/>
    <mergeCell ref="B2:O2"/>
    <mergeCell ref="H47:H48"/>
    <mergeCell ref="I47:I48"/>
    <mergeCell ref="J47:J48"/>
    <mergeCell ref="O47:O48"/>
    <mergeCell ref="B46:O46"/>
    <mergeCell ref="B3:B4"/>
    <mergeCell ref="E3:E4"/>
    <mergeCell ref="F3:F4"/>
    <mergeCell ref="O3:O4"/>
    <mergeCell ref="C3:C4"/>
    <mergeCell ref="D3:D4"/>
    <mergeCell ref="G3:G4"/>
    <mergeCell ref="H3:H4"/>
    <mergeCell ref="I3:I4"/>
    <mergeCell ref="J3:J4"/>
    <mergeCell ref="K3:K4"/>
    <mergeCell ref="L3:L4"/>
    <mergeCell ref="M47:M48"/>
    <mergeCell ref="N47:N48"/>
    <mergeCell ref="BB2:BJ2"/>
    <mergeCell ref="AT3:AT4"/>
    <mergeCell ref="B95:B100"/>
    <mergeCell ref="B24:O24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O25:O26"/>
    <mergeCell ref="B27:B32"/>
    <mergeCell ref="B33:B38"/>
    <mergeCell ref="B39:B44"/>
    <mergeCell ref="K47:K48"/>
    <mergeCell ref="L47:L48"/>
    <mergeCell ref="K25:K26"/>
    <mergeCell ref="L25:L26"/>
    <mergeCell ref="K75:K76"/>
    <mergeCell ref="L75:L76"/>
    <mergeCell ref="B74:O74"/>
    <mergeCell ref="B75:B76"/>
    <mergeCell ref="C75:C76"/>
    <mergeCell ref="B77:B82"/>
    <mergeCell ref="B83:B88"/>
    <mergeCell ref="B89:B94"/>
    <mergeCell ref="D75:D76"/>
    <mergeCell ref="E75:E76"/>
    <mergeCell ref="F75:F76"/>
    <mergeCell ref="G75:G76"/>
    <mergeCell ref="H75:H76"/>
    <mergeCell ref="I75:I76"/>
    <mergeCell ref="J75:J76"/>
    <mergeCell ref="O75:O76"/>
    <mergeCell ref="Q31:R31"/>
    <mergeCell ref="Q32:R32"/>
    <mergeCell ref="Q33:R33"/>
    <mergeCell ref="AU3:AU4"/>
    <mergeCell ref="Q26:R26"/>
    <mergeCell ref="Q27:R27"/>
    <mergeCell ref="Q4:R4"/>
    <mergeCell ref="Q3:R3"/>
    <mergeCell ref="AS3:AS4"/>
    <mergeCell ref="AI3:AI4"/>
    <mergeCell ref="Q36:R36"/>
    <mergeCell ref="S36:W36"/>
    <mergeCell ref="X36:AB36"/>
    <mergeCell ref="AC36:AG36"/>
    <mergeCell ref="Q37:R37"/>
    <mergeCell ref="Q38:R38"/>
    <mergeCell ref="Q39:R39"/>
    <mergeCell ref="Q40:AG40"/>
    <mergeCell ref="X14:AB14"/>
    <mergeCell ref="Q10:R10"/>
    <mergeCell ref="Q9:R9"/>
    <mergeCell ref="AJ9:AK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BDD7-F2BA-4144-B7E4-3D4EAB07A7DC}">
  <sheetPr codeName="Sheet4"/>
  <dimension ref="B1:DA85"/>
  <sheetViews>
    <sheetView zoomScale="80" zoomScaleNormal="80" zoomScaleSheetLayoutView="50" workbookViewId="0">
      <selection activeCell="CK22" sqref="CK22"/>
    </sheetView>
  </sheetViews>
  <sheetFormatPr defaultRowHeight="15.75" x14ac:dyDescent="0.25"/>
  <cols>
    <col min="1" max="1" width="9.140625" style="6"/>
    <col min="2" max="2" width="8.42578125" style="6" customWidth="1"/>
    <col min="3" max="3" width="9.28515625" style="6" customWidth="1"/>
    <col min="4" max="4" width="10.140625" style="6" customWidth="1"/>
    <col min="5" max="6" width="10.28515625" style="6" bestFit="1" customWidth="1"/>
    <col min="7" max="7" width="14" style="6" bestFit="1" customWidth="1"/>
    <col min="8" max="8" width="15.28515625" style="6" bestFit="1" customWidth="1"/>
    <col min="9" max="9" width="6.85546875" style="6" bestFit="1" customWidth="1"/>
    <col min="10" max="12" width="8.85546875" style="6" customWidth="1"/>
    <col min="13" max="13" width="10.28515625" style="6" bestFit="1" customWidth="1"/>
    <col min="14" max="14" width="10.85546875" style="6" bestFit="1" customWidth="1"/>
    <col min="15" max="15" width="12.140625" style="6" bestFit="1" customWidth="1"/>
    <col min="16" max="16" width="13.42578125" style="6" bestFit="1" customWidth="1"/>
    <col min="17" max="17" width="9.85546875" style="6" customWidth="1"/>
    <col min="18" max="18" width="13.42578125" style="6" customWidth="1"/>
    <col min="19" max="22" width="9.28515625" style="6" bestFit="1" customWidth="1"/>
    <col min="23" max="23" width="8.5703125" style="6" customWidth="1"/>
    <col min="24" max="24" width="10.7109375" style="6" bestFit="1" customWidth="1"/>
    <col min="25" max="25" width="12.28515625" style="6" bestFit="1" customWidth="1"/>
    <col min="26" max="26" width="13.5703125" style="6" bestFit="1" customWidth="1"/>
    <col min="27" max="27" width="7.5703125" style="6" customWidth="1"/>
    <col min="28" max="28" width="8.140625" style="6" customWidth="1"/>
    <col min="29" max="29" width="7.42578125" style="6" bestFit="1" customWidth="1"/>
    <col min="30" max="33" width="10.7109375" style="6" bestFit="1" customWidth="1"/>
    <col min="34" max="34" width="11.85546875" style="6" bestFit="1" customWidth="1"/>
    <col min="35" max="35" width="10.7109375" style="6" bestFit="1" customWidth="1"/>
    <col min="36" max="36" width="11.85546875" style="6" bestFit="1" customWidth="1"/>
    <col min="37" max="37" width="10.140625" style="6" bestFit="1" customWidth="1"/>
    <col min="38" max="38" width="10.7109375" style="6" bestFit="1" customWidth="1"/>
    <col min="39" max="39" width="7.140625" style="6" bestFit="1" customWidth="1"/>
    <col min="40" max="40" width="4.7109375" style="6" bestFit="1" customWidth="1"/>
    <col min="41" max="41" width="4.5703125" style="6" bestFit="1" customWidth="1"/>
    <col min="42" max="42" width="8.140625" style="6" bestFit="1" customWidth="1"/>
    <col min="43" max="43" width="8.5703125" style="6" bestFit="1" customWidth="1"/>
    <col min="44" max="44" width="7.28515625" style="6" bestFit="1" customWidth="1"/>
    <col min="45" max="45" width="12.42578125" style="6" bestFit="1" customWidth="1"/>
    <col min="46" max="46" width="13.85546875" style="6" customWidth="1"/>
    <col min="47" max="47" width="10.85546875" style="6" bestFit="1" customWidth="1"/>
    <col min="48" max="48" width="7.28515625" style="6" bestFit="1" customWidth="1"/>
    <col min="49" max="49" width="13.7109375" style="6" bestFit="1" customWidth="1"/>
    <col min="50" max="50" width="14.5703125" style="6" bestFit="1" customWidth="1"/>
    <col min="51" max="51" width="16" style="6" customWidth="1"/>
    <col min="52" max="52" width="9.28515625" style="6" bestFit="1" customWidth="1"/>
    <col min="53" max="53" width="7.28515625" style="6" bestFit="1" customWidth="1"/>
    <col min="54" max="54" width="13.85546875" style="6" customWidth="1"/>
    <col min="55" max="55" width="15.85546875" style="6" bestFit="1" customWidth="1"/>
    <col min="56" max="56" width="12.7109375" style="6" bestFit="1" customWidth="1"/>
    <col min="57" max="74" width="12.7109375" style="6" customWidth="1"/>
    <col min="75" max="75" width="11.28515625" style="6" bestFit="1" customWidth="1"/>
    <col min="76" max="76" width="11.42578125" style="6" bestFit="1" customWidth="1"/>
    <col min="77" max="77" width="10.28515625" style="6" bestFit="1" customWidth="1"/>
    <col min="78" max="78" width="13.140625" style="6" bestFit="1" customWidth="1"/>
    <col min="79" max="79" width="10.28515625" style="6" bestFit="1" customWidth="1"/>
    <col min="80" max="80" width="11" style="6" bestFit="1" customWidth="1"/>
    <col min="81" max="81" width="11.140625" style="6" bestFit="1" customWidth="1"/>
    <col min="82" max="82" width="9.5703125" style="6" customWidth="1"/>
    <col min="83" max="89" width="12.7109375" style="6" customWidth="1"/>
    <col min="90" max="90" width="13.140625" style="6" bestFit="1" customWidth="1"/>
    <col min="91" max="94" width="10.7109375" style="6" customWidth="1"/>
    <col min="95" max="95" width="13" style="6" bestFit="1" customWidth="1"/>
    <col min="96" max="97" width="12.7109375" style="6" customWidth="1"/>
    <col min="98" max="98" width="12.5703125" style="6" customWidth="1"/>
    <col min="99" max="99" width="12.7109375" style="6" customWidth="1"/>
    <col min="100" max="100" width="11.42578125" style="6" bestFit="1" customWidth="1"/>
    <col min="101" max="102" width="10.7109375" style="6" customWidth="1"/>
    <col min="103" max="103" width="8.28515625" style="6" bestFit="1" customWidth="1"/>
    <col min="104" max="104" width="10.7109375" style="6" customWidth="1"/>
    <col min="105" max="105" width="8.7109375" style="6" customWidth="1"/>
    <col min="106" max="16384" width="9.140625" style="6"/>
  </cols>
  <sheetData>
    <row r="1" spans="2:105" ht="16.5" thickBot="1" x14ac:dyDescent="0.3"/>
    <row r="2" spans="2:105" ht="16.5" customHeight="1" thickBot="1" x14ac:dyDescent="0.3">
      <c r="B2" s="812" t="s">
        <v>156</v>
      </c>
      <c r="C2" s="813"/>
      <c r="D2" s="813"/>
      <c r="E2" s="813"/>
      <c r="F2" s="813"/>
      <c r="G2" s="813"/>
      <c r="H2" s="813"/>
      <c r="I2" s="813"/>
      <c r="J2" s="813"/>
      <c r="K2" s="813"/>
      <c r="L2" s="813"/>
      <c r="M2" s="813"/>
      <c r="N2" s="814"/>
      <c r="U2" s="797" t="s">
        <v>196</v>
      </c>
      <c r="V2" s="798"/>
      <c r="W2" s="798"/>
      <c r="X2" s="798"/>
      <c r="Y2" s="798"/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9"/>
      <c r="AM2" s="689" t="s">
        <v>222</v>
      </c>
      <c r="AN2" s="690"/>
      <c r="AO2" s="690"/>
      <c r="AP2" s="690"/>
      <c r="AQ2" s="690"/>
      <c r="AR2" s="690"/>
      <c r="AS2" s="690"/>
      <c r="AT2" s="690"/>
      <c r="AU2" s="690"/>
      <c r="AV2" s="690"/>
      <c r="AW2" s="690"/>
      <c r="AX2" s="690"/>
      <c r="AY2" s="690"/>
      <c r="AZ2" s="690"/>
      <c r="BA2" s="690"/>
      <c r="BB2" s="690"/>
      <c r="BC2" s="691"/>
      <c r="BE2" s="784" t="s">
        <v>410</v>
      </c>
      <c r="BF2" s="785"/>
      <c r="BG2" s="785"/>
      <c r="BH2" s="785"/>
      <c r="BI2" s="785"/>
      <c r="BJ2" s="785"/>
      <c r="BK2" s="786"/>
      <c r="BM2" s="787" t="s">
        <v>413</v>
      </c>
      <c r="BN2" s="788"/>
      <c r="BO2" s="788"/>
      <c r="BP2" s="788"/>
      <c r="BQ2" s="788"/>
      <c r="BR2" s="788"/>
      <c r="BS2" s="788"/>
      <c r="BT2" s="788"/>
      <c r="BU2" s="789"/>
      <c r="BW2" s="829" t="s">
        <v>284</v>
      </c>
      <c r="BX2" s="830"/>
      <c r="BY2" s="830"/>
      <c r="BZ2" s="830"/>
      <c r="CA2" s="830"/>
      <c r="CB2" s="830"/>
      <c r="CC2" s="830"/>
      <c r="CD2" s="831"/>
      <c r="CF2" s="803" t="s">
        <v>444</v>
      </c>
      <c r="CG2" s="804"/>
      <c r="CH2" s="804"/>
      <c r="CI2" s="804"/>
      <c r="CJ2" s="805"/>
      <c r="CL2" s="776" t="s">
        <v>443</v>
      </c>
      <c r="CM2" s="777"/>
      <c r="CN2" s="777"/>
      <c r="CO2" s="777"/>
      <c r="CP2" s="777"/>
      <c r="CQ2" s="777"/>
      <c r="CR2" s="777"/>
      <c r="CS2" s="778"/>
      <c r="CT2" s="1"/>
      <c r="CU2" s="1"/>
      <c r="CV2" s="1"/>
    </row>
    <row r="3" spans="2:105" ht="16.5" customHeight="1" thickBot="1" x14ac:dyDescent="0.3">
      <c r="B3" s="53" t="s">
        <v>9</v>
      </c>
      <c r="C3" s="77" t="s">
        <v>63</v>
      </c>
      <c r="D3" s="77" t="s">
        <v>32</v>
      </c>
      <c r="E3" s="77" t="s">
        <v>154</v>
      </c>
      <c r="F3" s="77" t="s">
        <v>155</v>
      </c>
      <c r="G3" s="77" t="s">
        <v>158</v>
      </c>
      <c r="H3" s="77" t="s">
        <v>157</v>
      </c>
      <c r="I3" s="77" t="s">
        <v>159</v>
      </c>
      <c r="J3" s="77" t="s">
        <v>181</v>
      </c>
      <c r="K3" s="77" t="s">
        <v>160</v>
      </c>
      <c r="L3" s="77" t="s">
        <v>161</v>
      </c>
      <c r="M3" s="77" t="s">
        <v>162</v>
      </c>
      <c r="N3" s="276" t="s">
        <v>163</v>
      </c>
      <c r="U3" s="277" t="s">
        <v>9</v>
      </c>
      <c r="V3" s="278" t="s">
        <v>63</v>
      </c>
      <c r="W3" s="77" t="s">
        <v>32</v>
      </c>
      <c r="X3" s="77" t="s">
        <v>171</v>
      </c>
      <c r="Y3" s="77" t="s">
        <v>172</v>
      </c>
      <c r="Z3" s="77" t="s">
        <v>169</v>
      </c>
      <c r="AA3" s="77" t="s">
        <v>164</v>
      </c>
      <c r="AB3" s="77" t="s">
        <v>165</v>
      </c>
      <c r="AC3" s="77" t="s">
        <v>173</v>
      </c>
      <c r="AD3" s="77" t="s">
        <v>190</v>
      </c>
      <c r="AE3" s="77" t="s">
        <v>191</v>
      </c>
      <c r="AF3" s="77" t="s">
        <v>192</v>
      </c>
      <c r="AG3" s="77" t="s">
        <v>193</v>
      </c>
      <c r="AH3" s="77" t="s">
        <v>194</v>
      </c>
      <c r="AI3" s="77" t="s">
        <v>178</v>
      </c>
      <c r="AJ3" s="77" t="s">
        <v>179</v>
      </c>
      <c r="AK3" s="276" t="s">
        <v>180</v>
      </c>
      <c r="AM3" s="9" t="s">
        <v>9</v>
      </c>
      <c r="AN3" s="15" t="s">
        <v>63</v>
      </c>
      <c r="AO3" s="11" t="s">
        <v>32</v>
      </c>
      <c r="AP3" s="11" t="s">
        <v>86</v>
      </c>
      <c r="AQ3" s="279" t="s">
        <v>179</v>
      </c>
      <c r="AR3" s="280" t="s">
        <v>268</v>
      </c>
      <c r="AS3" s="280" t="s">
        <v>246</v>
      </c>
      <c r="AT3" s="279" t="s">
        <v>260</v>
      </c>
      <c r="AU3" s="281" t="s">
        <v>178</v>
      </c>
      <c r="AV3" s="282" t="s">
        <v>269</v>
      </c>
      <c r="AW3" s="281" t="s">
        <v>258</v>
      </c>
      <c r="AX3" s="282" t="s">
        <v>412</v>
      </c>
      <c r="AY3" s="282" t="s">
        <v>411</v>
      </c>
      <c r="AZ3" s="283" t="s">
        <v>180</v>
      </c>
      <c r="BA3" s="284" t="s">
        <v>270</v>
      </c>
      <c r="BB3" s="283" t="s">
        <v>262</v>
      </c>
      <c r="BC3" s="285" t="s">
        <v>261</v>
      </c>
      <c r="BE3" s="286" t="s">
        <v>9</v>
      </c>
      <c r="BF3" s="287" t="s">
        <v>63</v>
      </c>
      <c r="BG3" s="288" t="s">
        <v>32</v>
      </c>
      <c r="BH3" s="289" t="s">
        <v>30</v>
      </c>
      <c r="BI3" s="290" t="s">
        <v>86</v>
      </c>
      <c r="BJ3" s="291" t="s">
        <v>445</v>
      </c>
      <c r="BK3" s="292" t="s">
        <v>446</v>
      </c>
      <c r="BM3" s="724" t="s">
        <v>414</v>
      </c>
      <c r="BN3" s="633"/>
      <c r="BO3" s="11" t="s">
        <v>415</v>
      </c>
      <c r="BP3" s="293">
        <v>6</v>
      </c>
      <c r="BQ3" s="59">
        <v>5</v>
      </c>
      <c r="BR3" s="59">
        <v>4</v>
      </c>
      <c r="BS3" s="59">
        <v>3</v>
      </c>
      <c r="BT3" s="59">
        <v>2</v>
      </c>
      <c r="BU3" s="294">
        <v>1</v>
      </c>
      <c r="BW3" s="9" t="s">
        <v>24</v>
      </c>
      <c r="BX3" s="15" t="s">
        <v>9</v>
      </c>
      <c r="BY3" s="15">
        <v>6</v>
      </c>
      <c r="BZ3" s="11">
        <v>5</v>
      </c>
      <c r="CA3" s="11">
        <v>4</v>
      </c>
      <c r="CB3" s="11">
        <v>3</v>
      </c>
      <c r="CC3" s="11">
        <v>2</v>
      </c>
      <c r="CD3" s="12">
        <v>1</v>
      </c>
      <c r="CF3" s="9" t="s">
        <v>9</v>
      </c>
      <c r="CG3" s="11" t="s">
        <v>63</v>
      </c>
      <c r="CH3" s="295" t="s">
        <v>213</v>
      </c>
      <c r="CI3" s="295" t="s">
        <v>214</v>
      </c>
      <c r="CJ3" s="296" t="s">
        <v>215</v>
      </c>
      <c r="CL3" s="297" t="str">
        <f>'System Capacities'!C18</f>
        <v>Storey</v>
      </c>
      <c r="CM3" s="834" t="str">
        <f>'System Capacities'!D18</f>
        <v>Mode of Failure</v>
      </c>
      <c r="CN3" s="835"/>
      <c r="CO3" s="835"/>
      <c r="CP3" s="298" t="str">
        <f>'System Capacities'!G18</f>
        <v>VR,i [kN]</v>
      </c>
      <c r="CQ3" s="80" t="str">
        <f>'System Capacities'!H18</f>
        <v>hs,i [m]</v>
      </c>
      <c r="CR3" s="298" t="str">
        <f>'System Capacities'!I18</f>
        <v>θsys,i [rad]</v>
      </c>
      <c r="CS3" s="299" t="str">
        <f>'System Capacities'!J18</f>
        <v>ky,i [kN/m]</v>
      </c>
      <c r="CX3" s="19"/>
    </row>
    <row r="4" spans="2:105" x14ac:dyDescent="0.25">
      <c r="B4" s="802">
        <v>6</v>
      </c>
      <c r="C4" s="300">
        <v>1</v>
      </c>
      <c r="D4" s="300">
        <v>116</v>
      </c>
      <c r="E4" s="86">
        <f>'Structural Information'!$U$6</f>
        <v>3</v>
      </c>
      <c r="F4" s="86">
        <f>'Structural Information'!$AC$8</f>
        <v>4.5</v>
      </c>
      <c r="G4" s="86">
        <v>0.5</v>
      </c>
      <c r="H4" s="86">
        <v>0.25</v>
      </c>
      <c r="I4" s="86">
        <v>0.25</v>
      </c>
      <c r="J4" s="301">
        <f t="shared" ref="J4:J21" si="0">I4*(H4^3)/12</f>
        <v>3.2552083333333332E-4</v>
      </c>
      <c r="K4" s="86">
        <f>F4-H4</f>
        <v>4.25</v>
      </c>
      <c r="L4" s="86">
        <f t="shared" ref="L4:L21" si="1">E4-G4</f>
        <v>2.5</v>
      </c>
      <c r="M4" s="86">
        <f t="shared" ref="M4:M21" si="2">SQRT(K4^2+L4^2)</f>
        <v>4.9307707308290052</v>
      </c>
      <c r="N4" s="88">
        <f>ATAN(L4/K4)</f>
        <v>0.53172406725880561</v>
      </c>
      <c r="U4" s="795">
        <v>6</v>
      </c>
      <c r="V4" s="302">
        <v>1</v>
      </c>
      <c r="W4" s="303">
        <v>116</v>
      </c>
      <c r="X4" s="304">
        <f>1/((((COS(N4))^4)/'Structural Information'!$AH$17)+(((SIN(N4))^4)/'Structural Information'!$AH$18)+(((SIN(N4))^2)*((COS(N4))^2)*((1/'Structural Information'!$AH$19)-(2*'Structural Information'!$AL$19/'Structural Information'!$AH$18))))</f>
        <v>1375.8363758228218</v>
      </c>
      <c r="Y4" s="304">
        <f>((X4*('Structural Information'!$AL$17/1000)*SIN(2*N4))/(4*'Structural Information'!$AH$20*J4*L4))^(1/4)</f>
        <v>1.0803311717923612</v>
      </c>
      <c r="Z4" s="304">
        <f t="shared" ref="Z4:Z21" si="3">Y4*E4</f>
        <v>3.2409935153770837</v>
      </c>
      <c r="AA4" s="305">
        <f t="shared" ref="AA4:AA21" si="4">IF(Z4&lt;3.14,$Q$8,0)+IF(Z4&gt;3.14,1,0)*IF(Z4&lt;7.85,$R$8,0)+IF(Z4&gt;7.85,$S$8,0)</f>
        <v>0.70699999999999996</v>
      </c>
      <c r="AB4" s="305">
        <f t="shared" ref="AB4:AB21" si="5">IF(Z4&lt;3.14,$Q$9,0)+IF(Z4&gt;3.14,1,0)*IF(Z4&lt;7.85,$R$9,0)+IF(Z4&gt;7.85,$S$9,0)</f>
        <v>0.01</v>
      </c>
      <c r="AC4" s="304">
        <f t="shared" ref="AC4:AC21" si="6">((AA4/Z4)+AB4)*M4</f>
        <v>1.1249207531710215</v>
      </c>
      <c r="AD4" s="304">
        <f>((0.6*'Structural Information'!$AJ$17)+(0.3*'Structural Information'!$AL$18))/(AC4/M4)</f>
        <v>1.446461305462462</v>
      </c>
      <c r="AE4" s="304">
        <f>(((1.2*SIN(N4)+0.45*COS(N4))*'Structural Information'!$AJ$18)+(0.3*'Structural Information'!$AL$18))/(AC4/M4)</f>
        <v>1.9214686847113289</v>
      </c>
      <c r="AF4" s="304">
        <f>(1.12*'Structural Information'!$AJ$19*COS(N4)*SIN(N4))/((AA4*(Z4^(-0.12)))+(AB4*(Z4^(0.88))))</f>
        <v>1.5398017536539861</v>
      </c>
      <c r="AG4" s="304">
        <f>(1.16*'Structural Information'!$AJ$19*TAN(N4))/((AA4)+(AB4*Z4))</f>
        <v>1.8641255353024468</v>
      </c>
      <c r="AH4" s="304">
        <f t="shared" ref="AH4:AH21" si="7">MIN(AD4:AG4)</f>
        <v>1.446461305462462</v>
      </c>
      <c r="AI4" s="304">
        <f>AH4*AC4*'Structural Information'!$AL$17</f>
        <v>130.17234729388574</v>
      </c>
      <c r="AJ4" s="304">
        <f t="shared" ref="AJ4:AJ21" si="8">0.8*AI4</f>
        <v>104.1378778351086</v>
      </c>
      <c r="AK4" s="306">
        <f t="shared" ref="AK4:AK21" si="9">0.1*AI4</f>
        <v>13.017234729388575</v>
      </c>
      <c r="AM4" s="800">
        <v>6</v>
      </c>
      <c r="AN4" s="102">
        <v>1</v>
      </c>
      <c r="AO4" s="102">
        <v>116</v>
      </c>
      <c r="AP4" s="307">
        <v>3</v>
      </c>
      <c r="AQ4" s="308">
        <f t="shared" ref="AQ4:AQ21" si="10">AJ4</f>
        <v>104.1378778351086</v>
      </c>
      <c r="AR4" s="271">
        <f>0.08/100</f>
        <v>8.0000000000000004E-4</v>
      </c>
      <c r="AS4" s="103">
        <f>AQ4/(AR4*(SQRT(($F$4^2)+($E$4^2))))</f>
        <v>24068.875529005698</v>
      </c>
      <c r="AT4" s="309">
        <f>AS4*((COS($N$4))^2)</f>
        <v>17881.503927718884</v>
      </c>
      <c r="AU4" s="308">
        <f t="shared" ref="AU4:AU21" si="11">AI4</f>
        <v>130.17234729388574</v>
      </c>
      <c r="AV4" s="271">
        <f>0.22/100</f>
        <v>2.2000000000000001E-3</v>
      </c>
      <c r="AW4" s="103">
        <f>AU4/(AV4*(SQRT(($F$4^2)+($E$4^2))))</f>
        <v>10940.397967729861</v>
      </c>
      <c r="AX4" s="208">
        <f>(AU4-AQ4)/((AV4-AR4)*(SQRT(($F$4^2)+($E$4^2))))</f>
        <v>3438.410789857955</v>
      </c>
      <c r="AY4" s="309">
        <f>AX4*((COS($N$4))^2)</f>
        <v>2554.5005611026963</v>
      </c>
      <c r="AZ4" s="308">
        <f t="shared" ref="AZ4:AZ21" si="12">AK4</f>
        <v>13.017234729388575</v>
      </c>
      <c r="BA4" s="271">
        <f>0.89/100</f>
        <v>8.8999999999999999E-3</v>
      </c>
      <c r="BB4" s="103">
        <f>BC4/((COS($N$4))^2)</f>
        <v>-6762.2475856014062</v>
      </c>
      <c r="BC4" s="310">
        <f>((AZ4*COS($N$4))-(AU4*COS($N$4)))/((BA4-AV4)*AP4)</f>
        <v>-5023.880597014926</v>
      </c>
      <c r="BE4" s="791">
        <v>6</v>
      </c>
      <c r="BF4" s="102">
        <v>1</v>
      </c>
      <c r="BG4" s="102">
        <v>7116</v>
      </c>
      <c r="BH4" s="102" t="s">
        <v>27</v>
      </c>
      <c r="BI4" s="311">
        <f>'Structural Information'!$U$6</f>
        <v>3</v>
      </c>
      <c r="BJ4" s="312">
        <f>('Structural Information'!$X$24)*(200)/$BI4</f>
        <v>53616.514621265807</v>
      </c>
      <c r="BK4" s="313">
        <f>'Structural Information'!$T$23*'Structural Information'!$T$24*(4700*SQRT('Structural Information'!$AC$18))/(BI4*1000)</f>
        <v>433495.56258141535</v>
      </c>
      <c r="BM4" s="314" t="s">
        <v>416</v>
      </c>
      <c r="BN4" s="68" t="s">
        <v>417</v>
      </c>
      <c r="BO4" s="68" t="s">
        <v>418</v>
      </c>
      <c r="BP4" s="315">
        <f>'Structural Information'!U6</f>
        <v>3</v>
      </c>
      <c r="BQ4" s="316">
        <f>'Structural Information'!U7</f>
        <v>3</v>
      </c>
      <c r="BR4" s="316">
        <f>'Structural Information'!U8</f>
        <v>3</v>
      </c>
      <c r="BS4" s="316">
        <f>'Structural Information'!U9</f>
        <v>3</v>
      </c>
      <c r="BT4" s="316">
        <f>'Structural Information'!U10</f>
        <v>3</v>
      </c>
      <c r="BU4" s="317">
        <f>'Structural Information'!U11</f>
        <v>2.75</v>
      </c>
      <c r="BW4" s="724">
        <v>1</v>
      </c>
      <c r="BX4" s="318" t="s">
        <v>27</v>
      </c>
      <c r="BY4" s="319">
        <f>(BP5*BP5)/$BK$4</f>
        <v>1.0252571947861007E-6</v>
      </c>
      <c r="BZ4" s="319">
        <f>(BQ5*BQ5)/$BK$8</f>
        <v>1.0252571947861007E-6</v>
      </c>
      <c r="CA4" s="319">
        <f>(BR5*BR5)/$BK$12</f>
        <v>1.0252571947861007E-6</v>
      </c>
      <c r="CB4" s="319">
        <f>(BS5*BS5)/$BK$16</f>
        <v>1.0252571947861007E-6</v>
      </c>
      <c r="CC4" s="319">
        <f>((BT5*BT5)/$BK$20)</f>
        <v>1.0252571947861007E-6</v>
      </c>
      <c r="CD4" s="320">
        <f>(BU5*BU5)/$BK$24</f>
        <v>5.4840909780908416E-7</v>
      </c>
      <c r="CF4" s="640">
        <v>6</v>
      </c>
      <c r="CG4" s="321">
        <v>1</v>
      </c>
      <c r="CH4" s="808">
        <f>1/(BY5+BY4+BZ4+CA4+CB4+CC4+CD4+BZ8+CA8+CB8+CC8+CD8+(1/Y32))+1/(BY10+BY9+BZ9+CA9+CB9+CC9+CD9+BZ13+CA13+CB13+CC13+CD13+(1/Y33))+1/(BY15+BY14+BZ14+CA14+CB14+CC14+CD14+BZ18+CA18+CB18+CC18+CD18+(1/Y34))</f>
        <v>32231.583564149721</v>
      </c>
      <c r="CI4" s="808">
        <f>1/(BY6+BY4+BZ4+CA4+CB4+CC4+CD4+BZ8+CA8+CB8+CC8+CD8+(1/Y32))+1/(BY11+BY9+BZ9+CA9+CB9+CC9+CD9+BZ13+CA13+CB13+CC13+CD13+(1/Y33))+1/(BY16+BY14+BZ14+CA14+CB14+CC14+CD14+BZ18+CA18+CB18+CC18+CD18+(1/Y34))</f>
        <v>5875.4044347994641</v>
      </c>
      <c r="CJ4" s="832">
        <f>1/(BY7+BY4+BZ4+CA4+CB4+CC4+CD4+BZ8+CA8+CB8+CC8+CD8+(1/Y32))+1/(BY12+BY9+BZ9+CA9+CB9+CC9+CD9+BZ13+CA13+CB13+CC13+CD13+(1/Y33))+1/(BY17+BY14+BZ14+CA14+CB14+CC14+CD14+BZ18+CA18+CB18+CC18+CD18+(1/Y34))</f>
        <v>-13386.468091479623</v>
      </c>
      <c r="CL4" s="322">
        <f>'System Capacities'!C19</f>
        <v>6</v>
      </c>
      <c r="CM4" s="836" t="str">
        <f>'System Capacities'!D19</f>
        <v>Corner crushing / Column</v>
      </c>
      <c r="CN4" s="837"/>
      <c r="CO4" s="837"/>
      <c r="CP4" s="86">
        <f>'System Capacities'!G19</f>
        <v>216.48000000000002</v>
      </c>
      <c r="CQ4" s="86">
        <f>'Structural Information'!U6</f>
        <v>3</v>
      </c>
      <c r="CR4" s="323">
        <f>'System Capacities'!I19</f>
        <v>2.2387978504494433E-3</v>
      </c>
      <c r="CS4" s="324">
        <f>'System Capacities'!J19</f>
        <v>32231.583564149721</v>
      </c>
      <c r="CX4" s="19"/>
    </row>
    <row r="5" spans="2:105" x14ac:dyDescent="0.25">
      <c r="B5" s="816"/>
      <c r="C5" s="69">
        <v>2</v>
      </c>
      <c r="D5" s="69">
        <v>216</v>
      </c>
      <c r="E5" s="70">
        <f>'Structural Information'!$U$6</f>
        <v>3</v>
      </c>
      <c r="F5" s="70">
        <f>'Structural Information'!$AC$7</f>
        <v>2</v>
      </c>
      <c r="G5" s="70">
        <v>0.5</v>
      </c>
      <c r="H5" s="70">
        <v>0.25</v>
      </c>
      <c r="I5" s="70">
        <v>0.25</v>
      </c>
      <c r="J5" s="325">
        <f t="shared" si="0"/>
        <v>3.2552083333333332E-4</v>
      </c>
      <c r="K5" s="70">
        <f t="shared" ref="K5:K21" si="13">F5-H5</f>
        <v>1.75</v>
      </c>
      <c r="L5" s="70">
        <f t="shared" si="1"/>
        <v>2.5</v>
      </c>
      <c r="M5" s="70">
        <f t="shared" si="2"/>
        <v>3.0516389039334255</v>
      </c>
      <c r="N5" s="324">
        <f t="shared" ref="N5:N21" si="14">ATAN(L5/K5)</f>
        <v>0.96007036240568799</v>
      </c>
      <c r="U5" s="792"/>
      <c r="V5" s="326">
        <v>2</v>
      </c>
      <c r="W5" s="69">
        <v>216</v>
      </c>
      <c r="X5" s="70">
        <f>1/((((COS(N5))^4)/'Structural Information'!$AH$17)+(((SIN(N5))^4)/'Structural Information'!$AH$18)+(((SIN(N5))^2)*((COS(N5))^2)*((1/'Structural Information'!$AH$19)-(2*'Structural Information'!$AL$19/'Structural Information'!$AH$18))))</f>
        <v>1979.5941814167948</v>
      </c>
      <c r="Y5" s="70">
        <f>((X5*('Structural Information'!$AL$17/1000)*SIN(2*N5))/(4*'Structural Information'!$AH$20*J5*L5))^(1/4)</f>
        <v>1.2047928056896782</v>
      </c>
      <c r="Z5" s="70">
        <f t="shared" si="3"/>
        <v>3.6143784170690347</v>
      </c>
      <c r="AA5" s="327">
        <f t="shared" si="4"/>
        <v>0.70699999999999996</v>
      </c>
      <c r="AB5" s="327">
        <f t="shared" si="5"/>
        <v>0.01</v>
      </c>
      <c r="AC5" s="70">
        <f t="shared" si="6"/>
        <v>0.62744024595813885</v>
      </c>
      <c r="AD5" s="70">
        <f>((0.6*'Structural Information'!$AJ$17)+(0.3*'Structural Information'!$AL$18))/(AC5/M5)</f>
        <v>1.604998794363627</v>
      </c>
      <c r="AE5" s="70">
        <f>(((1.2*SIN(N5)+0.45*COS(N5))*'Structural Information'!$AJ$18)+(0.3*'Structural Information'!$AL$18))/(AC5/M5)</f>
        <v>2.6560298143692624</v>
      </c>
      <c r="AF5" s="70">
        <f>(1.12*'Structural Information'!$AJ$19*COS(N5)*SIN(N5))/((AA5*(Z5^(-0.12)))+(AB5*(Z5^(0.88))))</f>
        <v>1.6686772635859319</v>
      </c>
      <c r="AG5" s="70">
        <f>(1.16*'Structural Information'!$AJ$19*TAN(N5))/((AA5)+(AB5*Z5))</f>
        <v>4.5044157573949528</v>
      </c>
      <c r="AH5" s="70">
        <f t="shared" si="7"/>
        <v>1.604998794363627</v>
      </c>
      <c r="AI5" s="70">
        <f>AH5*AC5*'Structural Information'!$AL$17</f>
        <v>80.563267063842432</v>
      </c>
      <c r="AJ5" s="70">
        <f t="shared" si="8"/>
        <v>64.450613651073951</v>
      </c>
      <c r="AK5" s="324">
        <f t="shared" si="9"/>
        <v>8.0563267063842439</v>
      </c>
      <c r="AM5" s="801"/>
      <c r="AN5" s="61">
        <v>2</v>
      </c>
      <c r="AO5" s="61">
        <v>216</v>
      </c>
      <c r="AP5" s="328">
        <v>3</v>
      </c>
      <c r="AQ5" s="20">
        <f t="shared" si="10"/>
        <v>64.450613651073951</v>
      </c>
      <c r="AR5" s="63">
        <f t="shared" ref="AR5:AR21" si="15">0.08/100</f>
        <v>8.0000000000000004E-4</v>
      </c>
      <c r="AS5" s="62">
        <f>AQ5/(AR5*(SQRT(($F$5^2)+($E$5^2))))</f>
        <v>22344.230024429471</v>
      </c>
      <c r="AT5" s="329">
        <f>AS5*((COS($N$5))^2)</f>
        <v>7348.1024912553303</v>
      </c>
      <c r="AU5" s="20">
        <f t="shared" si="11"/>
        <v>80.563267063842432</v>
      </c>
      <c r="AV5" s="63">
        <f t="shared" ref="AV5:AV21" si="16">0.22/100</f>
        <v>2.2000000000000001E-3</v>
      </c>
      <c r="AW5" s="62">
        <f>AU5/(AV5*(SQRT(($F$5^2)+($E$5^2))))</f>
        <v>10156.468192922484</v>
      </c>
      <c r="AX5" s="210">
        <f>(AU5-AQ5)/((AV5-AR5)*(SQRT(($F$5^2)+($E$5^2))))</f>
        <v>3192.0328606327794</v>
      </c>
      <c r="AY5" s="329">
        <f>AX5*((COS($N$5))^2)</f>
        <v>1049.7289273221893</v>
      </c>
      <c r="AZ5" s="20">
        <f t="shared" si="12"/>
        <v>8.0563267063842439</v>
      </c>
      <c r="BA5" s="63">
        <f t="shared" ref="BA5:BA21" si="17">0.89/100</f>
        <v>8.8999999999999999E-3</v>
      </c>
      <c r="BB5" s="62">
        <f>BC5/((COS($N$5))^2)</f>
        <v>-6290.4051172707887</v>
      </c>
      <c r="BC5" s="194">
        <f>((AZ5*COS($N$5))-(AU5*COS($N$5)))/((BA5-AV5)*AP5)</f>
        <v>-2068.6567164179105</v>
      </c>
      <c r="BE5" s="792"/>
      <c r="BF5" s="61">
        <v>2</v>
      </c>
      <c r="BG5" s="61">
        <v>7216</v>
      </c>
      <c r="BH5" s="61" t="s">
        <v>27</v>
      </c>
      <c r="BI5" s="311">
        <f>'Structural Information'!$U$6</f>
        <v>3</v>
      </c>
      <c r="BJ5" s="72">
        <f>('Structural Information'!$X$24)*(200)/$BI5</f>
        <v>53616.514621265807</v>
      </c>
      <c r="BK5" s="330">
        <f>'Structural Information'!$T$23*'Structural Information'!$T$24*(4700*SQRT('Structural Information'!$AC$18))/(BI5*1000)</f>
        <v>433495.56258141535</v>
      </c>
      <c r="BM5" s="640">
        <v>1</v>
      </c>
      <c r="BN5" s="331">
        <v>1</v>
      </c>
      <c r="BO5" s="332">
        <f>'Structural Information'!$AC$8</f>
        <v>4.5</v>
      </c>
      <c r="BP5" s="103">
        <f t="shared" ref="BP5:BU5" si="18">(BP$4/$BO5)</f>
        <v>0.66666666666666663</v>
      </c>
      <c r="BQ5" s="103">
        <f t="shared" si="18"/>
        <v>0.66666666666666663</v>
      </c>
      <c r="BR5" s="103">
        <f t="shared" si="18"/>
        <v>0.66666666666666663</v>
      </c>
      <c r="BS5" s="103">
        <f t="shared" si="18"/>
        <v>0.66666666666666663</v>
      </c>
      <c r="BT5" s="103">
        <f t="shared" si="18"/>
        <v>0.66666666666666663</v>
      </c>
      <c r="BU5" s="310">
        <f t="shared" si="18"/>
        <v>0.61111111111111116</v>
      </c>
      <c r="BW5" s="640"/>
      <c r="BX5" s="333" t="s">
        <v>277</v>
      </c>
      <c r="BY5" s="319">
        <f>1/($AT$4)</f>
        <v>5.5923707762066768E-5</v>
      </c>
      <c r="BZ5" s="319">
        <f>1/($AT$7)</f>
        <v>5.5923707762066768E-5</v>
      </c>
      <c r="CA5" s="319">
        <f>1/($AT$10)</f>
        <v>5.5923707762066768E-5</v>
      </c>
      <c r="CB5" s="319">
        <f>1/($AT$13)</f>
        <v>5.5923707762066768E-5</v>
      </c>
      <c r="CC5" s="319">
        <f>1/($AT$16)</f>
        <v>5.5923707762066768E-5</v>
      </c>
      <c r="CD5" s="320">
        <f>1/($AT$19)</f>
        <v>5.3957814241538037E-5</v>
      </c>
      <c r="CF5" s="640"/>
      <c r="CG5" s="334">
        <v>2</v>
      </c>
      <c r="CH5" s="806"/>
      <c r="CI5" s="806"/>
      <c r="CJ5" s="810"/>
      <c r="CL5" s="335">
        <f>'System Capacities'!C20</f>
        <v>5</v>
      </c>
      <c r="CM5" s="836" t="str">
        <f>'System Capacities'!D20</f>
        <v>Corner crushing / Column</v>
      </c>
      <c r="CN5" s="837"/>
      <c r="CO5" s="837"/>
      <c r="CP5" s="86">
        <f>'System Capacities'!G20</f>
        <v>216.48000000000002</v>
      </c>
      <c r="CQ5" s="70">
        <f>'Structural Information'!U7</f>
        <v>3</v>
      </c>
      <c r="CR5" s="323">
        <f>'System Capacities'!I20</f>
        <v>1.92360761471166E-3</v>
      </c>
      <c r="CS5" s="324">
        <f>'System Capacities'!J20</f>
        <v>37512.847967601992</v>
      </c>
      <c r="CX5" s="19"/>
    </row>
    <row r="6" spans="2:105" ht="16.5" thickBot="1" x14ac:dyDescent="0.3">
      <c r="B6" s="817"/>
      <c r="C6" s="336">
        <v>3</v>
      </c>
      <c r="D6" s="336">
        <v>316</v>
      </c>
      <c r="E6" s="150">
        <f>'Structural Information'!$U$6</f>
        <v>3</v>
      </c>
      <c r="F6" s="150">
        <f>'Structural Information'!$AC$6</f>
        <v>4.5</v>
      </c>
      <c r="G6" s="150">
        <v>0.5</v>
      </c>
      <c r="H6" s="150">
        <v>0.25</v>
      </c>
      <c r="I6" s="150">
        <v>0.25</v>
      </c>
      <c r="J6" s="337">
        <f t="shared" si="0"/>
        <v>3.2552083333333332E-4</v>
      </c>
      <c r="K6" s="150">
        <f t="shared" si="13"/>
        <v>4.25</v>
      </c>
      <c r="L6" s="150">
        <f t="shared" si="1"/>
        <v>2.5</v>
      </c>
      <c r="M6" s="150">
        <f t="shared" si="2"/>
        <v>4.9307707308290052</v>
      </c>
      <c r="N6" s="338">
        <f t="shared" si="14"/>
        <v>0.53172406725880561</v>
      </c>
      <c r="P6" s="820" t="s">
        <v>170</v>
      </c>
      <c r="Q6" s="820"/>
      <c r="R6" s="820"/>
      <c r="S6" s="820"/>
      <c r="U6" s="794"/>
      <c r="V6" s="339">
        <v>3</v>
      </c>
      <c r="W6" s="336">
        <v>316</v>
      </c>
      <c r="X6" s="150">
        <f>1/((((COS(N6))^4)/'Structural Information'!$AH$17)+(((SIN(N6))^4)/'Structural Information'!$AH$18)+(((SIN(N6))^2)*((COS(N6))^2)*((1/'Structural Information'!$AH$19)-(2*'Structural Information'!$AL$19/'Structural Information'!$AH$18))))</f>
        <v>1375.8363758228218</v>
      </c>
      <c r="Y6" s="150">
        <f>((X6*('Structural Information'!$AL$17/1000)*SIN(2*N6))/(4*'Structural Information'!$AH$20*J6*L6))^(1/4)</f>
        <v>1.0803311717923612</v>
      </c>
      <c r="Z6" s="150">
        <f t="shared" si="3"/>
        <v>3.2409935153770837</v>
      </c>
      <c r="AA6" s="340">
        <f t="shared" si="4"/>
        <v>0.70699999999999996</v>
      </c>
      <c r="AB6" s="340">
        <f t="shared" si="5"/>
        <v>0.01</v>
      </c>
      <c r="AC6" s="150">
        <f t="shared" si="6"/>
        <v>1.1249207531710215</v>
      </c>
      <c r="AD6" s="150">
        <f>((0.6*'Structural Information'!$AJ$17)+(0.3*'Structural Information'!$AL$18))/(AC6/M6)</f>
        <v>1.446461305462462</v>
      </c>
      <c r="AE6" s="150">
        <f>(((1.2*SIN(N6)+0.45*COS(N6))*'Structural Information'!$AJ$18)+(0.3*'Structural Information'!$AL$18))/(AC6/M6)</f>
        <v>1.9214686847113289</v>
      </c>
      <c r="AF6" s="150">
        <f>(1.12*'Structural Information'!$AJ$19*COS(N6)*SIN(N6))/((AA6*(Z6^(-0.12)))+(AB6*(Z6^(0.88))))</f>
        <v>1.5398017536539861</v>
      </c>
      <c r="AG6" s="150">
        <f>(1.16*'Structural Information'!$AJ$19*TAN(N6))/((AA6)+(AB6*Z6))</f>
        <v>1.8641255353024468</v>
      </c>
      <c r="AH6" s="150">
        <f t="shared" si="7"/>
        <v>1.446461305462462</v>
      </c>
      <c r="AI6" s="150">
        <f>AH6*AC6*'Structural Information'!$AL$17</f>
        <v>130.17234729388574</v>
      </c>
      <c r="AJ6" s="150">
        <f t="shared" si="8"/>
        <v>104.1378778351086</v>
      </c>
      <c r="AK6" s="338">
        <f t="shared" si="9"/>
        <v>13.017234729388575</v>
      </c>
      <c r="AM6" s="802"/>
      <c r="AN6" s="130">
        <v>3</v>
      </c>
      <c r="AO6" s="130">
        <v>316</v>
      </c>
      <c r="AP6" s="341">
        <v>3</v>
      </c>
      <c r="AQ6" s="342">
        <f t="shared" si="10"/>
        <v>104.1378778351086</v>
      </c>
      <c r="AR6" s="266">
        <f t="shared" si="15"/>
        <v>8.0000000000000004E-4</v>
      </c>
      <c r="AS6" s="131">
        <f>AQ6/(AR6*(SQRT(($F$6^2)+($E$6^2))))</f>
        <v>24068.875529005698</v>
      </c>
      <c r="AT6" s="343">
        <f>AS6*((COS($N$6))^2)</f>
        <v>17881.503927718884</v>
      </c>
      <c r="AU6" s="342">
        <f t="shared" si="11"/>
        <v>130.17234729388574</v>
      </c>
      <c r="AV6" s="266">
        <f t="shared" si="16"/>
        <v>2.2000000000000001E-3</v>
      </c>
      <c r="AW6" s="131">
        <f>AU6/(AV6*(SQRT(($F$6^2)+($E$6^2))))</f>
        <v>10940.397967729861</v>
      </c>
      <c r="AX6" s="206">
        <f>(AU6-AQ6)/((AV6-AR6)*(SQRT(($F$6^2)+($E$6^2))))</f>
        <v>3438.410789857955</v>
      </c>
      <c r="AY6" s="343">
        <f>AX6*((COS($N$6))^2)</f>
        <v>2554.5005611026963</v>
      </c>
      <c r="AZ6" s="342">
        <f t="shared" si="12"/>
        <v>13.017234729388575</v>
      </c>
      <c r="BA6" s="266">
        <f t="shared" si="17"/>
        <v>8.8999999999999999E-3</v>
      </c>
      <c r="BB6" s="131">
        <f>BC6/((COS($N$6))^2)</f>
        <v>-6762.2475856014062</v>
      </c>
      <c r="BC6" s="344">
        <f>((AZ6*COS($N$6))-(AU6*COS($N$6)))/((BA6-AV6)*AP6)</f>
        <v>-5023.880597014926</v>
      </c>
      <c r="BE6" s="792"/>
      <c r="BF6" s="61">
        <v>3</v>
      </c>
      <c r="BG6" s="61">
        <v>7316</v>
      </c>
      <c r="BH6" s="61" t="s">
        <v>27</v>
      </c>
      <c r="BI6" s="311">
        <f>'Structural Information'!$U$6</f>
        <v>3</v>
      </c>
      <c r="BJ6" s="72">
        <f>('Structural Information'!$X$24)*(200)/$BI6</f>
        <v>53616.514621265807</v>
      </c>
      <c r="BK6" s="330">
        <f>'Structural Information'!$T$23*'Structural Information'!$T$24*(4700*SQRT('Structural Information'!$AC$18))/(BI6*1000)</f>
        <v>433495.56258141535</v>
      </c>
      <c r="BM6" s="640"/>
      <c r="BN6" s="345" t="s">
        <v>419</v>
      </c>
      <c r="BO6" s="346">
        <f>'Structural Information'!$AC$8</f>
        <v>4.5</v>
      </c>
      <c r="BP6" s="60">
        <f>BQ6+BP5</f>
        <v>3.9444444444444438</v>
      </c>
      <c r="BQ6" s="60">
        <f>BR6+BQ5</f>
        <v>3.2777777777777772</v>
      </c>
      <c r="BR6" s="60">
        <f>BS6+BR5</f>
        <v>2.6111111111111107</v>
      </c>
      <c r="BS6" s="60">
        <f>BT6+BS5</f>
        <v>1.9444444444444442</v>
      </c>
      <c r="BT6" s="60">
        <f>BU6+BT5</f>
        <v>1.2777777777777777</v>
      </c>
      <c r="BU6" s="347">
        <f>BU5</f>
        <v>0.61111111111111116</v>
      </c>
      <c r="BW6" s="640"/>
      <c r="BX6" s="348" t="s">
        <v>277</v>
      </c>
      <c r="BY6" s="319">
        <f>1/($AY$4)</f>
        <v>3.9146595433446759E-4</v>
      </c>
      <c r="BZ6" s="319">
        <f>1/($AY$7)</f>
        <v>3.9146595433446759E-4</v>
      </c>
      <c r="CA6" s="319">
        <f>1/($AY$10)</f>
        <v>3.9146595433446759E-4</v>
      </c>
      <c r="CB6" s="319">
        <f>1/($AY$13)</f>
        <v>3.9146595433446759E-4</v>
      </c>
      <c r="CC6" s="319">
        <f>1/($AY$16)</f>
        <v>3.9146595433446759E-4</v>
      </c>
      <c r="CD6" s="320">
        <f>1/($AY$19)</f>
        <v>3.7770469969076651E-4</v>
      </c>
      <c r="CF6" s="640"/>
      <c r="CG6" s="300">
        <v>3</v>
      </c>
      <c r="CH6" s="809"/>
      <c r="CI6" s="809"/>
      <c r="CJ6" s="833"/>
      <c r="CL6" s="335">
        <f>'System Capacities'!C21</f>
        <v>4</v>
      </c>
      <c r="CM6" s="836" t="str">
        <f>'System Capacities'!D21</f>
        <v>Corner crushing / Column</v>
      </c>
      <c r="CN6" s="837"/>
      <c r="CO6" s="837"/>
      <c r="CP6" s="86">
        <f>'System Capacities'!G21</f>
        <v>216.48000000000002</v>
      </c>
      <c r="CQ6" s="70">
        <f>'Structural Information'!U8</f>
        <v>3</v>
      </c>
      <c r="CR6" s="323">
        <f>'System Capacities'!I21</f>
        <v>1.852250472241956E-3</v>
      </c>
      <c r="CS6" s="324">
        <f>'System Capacities'!J21</f>
        <v>38958.01409226143</v>
      </c>
      <c r="CX6" s="19"/>
    </row>
    <row r="7" spans="2:105" x14ac:dyDescent="0.25">
      <c r="B7" s="815">
        <v>5</v>
      </c>
      <c r="C7" s="303">
        <v>1</v>
      </c>
      <c r="D7" s="303">
        <v>115</v>
      </c>
      <c r="E7" s="304">
        <f>'Structural Information'!$U$7</f>
        <v>3</v>
      </c>
      <c r="F7" s="304">
        <f>'Structural Information'!$AC$8</f>
        <v>4.5</v>
      </c>
      <c r="G7" s="304">
        <v>0.5</v>
      </c>
      <c r="H7" s="304">
        <v>0.25</v>
      </c>
      <c r="I7" s="304">
        <v>0.25</v>
      </c>
      <c r="J7" s="349">
        <f t="shared" si="0"/>
        <v>3.2552083333333332E-4</v>
      </c>
      <c r="K7" s="304">
        <f t="shared" si="13"/>
        <v>4.25</v>
      </c>
      <c r="L7" s="304">
        <f t="shared" si="1"/>
        <v>2.5</v>
      </c>
      <c r="M7" s="304">
        <f t="shared" si="2"/>
        <v>4.9307707308290052</v>
      </c>
      <c r="N7" s="306">
        <f t="shared" si="14"/>
        <v>0.53172406725880561</v>
      </c>
      <c r="P7" s="350" t="s">
        <v>169</v>
      </c>
      <c r="Q7" s="351" t="s">
        <v>166</v>
      </c>
      <c r="R7" s="68" t="s">
        <v>167</v>
      </c>
      <c r="S7" s="351" t="s">
        <v>168</v>
      </c>
      <c r="U7" s="795">
        <v>5</v>
      </c>
      <c r="V7" s="302">
        <v>1</v>
      </c>
      <c r="W7" s="303">
        <v>115</v>
      </c>
      <c r="X7" s="304">
        <f>1/((((COS(N7))^4)/'Structural Information'!$AH$17)+(((SIN(N7))^4)/'Structural Information'!$AH$18)+(((SIN(N7))^2)*((COS(N7))^2)*((1/'Structural Information'!$AH$19)-(2*'Structural Information'!$AL$19/'Structural Information'!$AH$18))))</f>
        <v>1375.8363758228218</v>
      </c>
      <c r="Y7" s="304">
        <f>((X7*('Structural Information'!$AL$17/1000)*SIN(2*N7))/(4*'Structural Information'!$AH$20*J7*L7))^(1/4)</f>
        <v>1.0803311717923612</v>
      </c>
      <c r="Z7" s="304">
        <f t="shared" si="3"/>
        <v>3.2409935153770837</v>
      </c>
      <c r="AA7" s="305">
        <f t="shared" si="4"/>
        <v>0.70699999999999996</v>
      </c>
      <c r="AB7" s="305">
        <f t="shared" si="5"/>
        <v>0.01</v>
      </c>
      <c r="AC7" s="304">
        <f t="shared" si="6"/>
        <v>1.1249207531710215</v>
      </c>
      <c r="AD7" s="304">
        <f>((0.6*'Structural Information'!$AJ$17)+(0.3*'Structural Information'!$AL$18))/(AC7/M7)</f>
        <v>1.446461305462462</v>
      </c>
      <c r="AE7" s="304">
        <f>(((1.2*SIN(N7)+0.45*COS(N7))*'Structural Information'!$AJ$18)+(0.3*'Structural Information'!$AL$18))/(AC7/M7)</f>
        <v>1.9214686847113289</v>
      </c>
      <c r="AF7" s="304">
        <f>(1.12*'Structural Information'!$AJ$19*COS(N7)*SIN(N7))/((AA7*(Z7^(-0.12)))+(AB7*(Z7^(0.88))))</f>
        <v>1.5398017536539861</v>
      </c>
      <c r="AG7" s="304">
        <f>(1.16*'Structural Information'!$AJ$19*TAN(N7))/((AA7)+(AB7*Z7))</f>
        <v>1.8641255353024468</v>
      </c>
      <c r="AH7" s="304">
        <f t="shared" si="7"/>
        <v>1.446461305462462</v>
      </c>
      <c r="AI7" s="304">
        <f>AH7*AC7*'Structural Information'!$AL$17</f>
        <v>130.17234729388574</v>
      </c>
      <c r="AJ7" s="304">
        <f t="shared" si="8"/>
        <v>104.1378778351086</v>
      </c>
      <c r="AK7" s="306">
        <f t="shared" si="9"/>
        <v>13.017234729388575</v>
      </c>
      <c r="AM7" s="801">
        <v>5</v>
      </c>
      <c r="AN7" s="61">
        <v>1</v>
      </c>
      <c r="AO7" s="61">
        <v>115</v>
      </c>
      <c r="AP7" s="328">
        <v>3</v>
      </c>
      <c r="AQ7" s="20">
        <f t="shared" si="10"/>
        <v>104.1378778351086</v>
      </c>
      <c r="AR7" s="63">
        <f t="shared" si="15"/>
        <v>8.0000000000000004E-4</v>
      </c>
      <c r="AS7" s="62">
        <f>AQ7/(AR7*(SQRT(($F$7^2)+($E$7^2))))</f>
        <v>24068.875529005698</v>
      </c>
      <c r="AT7" s="329">
        <f>AS7*((COS($N$7))^2)</f>
        <v>17881.503927718884</v>
      </c>
      <c r="AU7" s="20">
        <f t="shared" si="11"/>
        <v>130.17234729388574</v>
      </c>
      <c r="AV7" s="63">
        <f t="shared" si="16"/>
        <v>2.2000000000000001E-3</v>
      </c>
      <c r="AW7" s="62">
        <f>AU7/(AV7*(SQRT(($F$7^2)+($E$7^2))))</f>
        <v>10940.397967729861</v>
      </c>
      <c r="AX7" s="210">
        <f>(AU7-AQ7)/((AV7-AR7)*(SQRT(($F$7^2)+($E$7^2))))</f>
        <v>3438.410789857955</v>
      </c>
      <c r="AY7" s="329">
        <f>AX7*((COS($N$7))^2)</f>
        <v>2554.5005611026963</v>
      </c>
      <c r="AZ7" s="20">
        <f t="shared" si="12"/>
        <v>13.017234729388575</v>
      </c>
      <c r="BA7" s="63">
        <f t="shared" si="17"/>
        <v>8.8999999999999999E-3</v>
      </c>
      <c r="BB7" s="62">
        <f>BC7/((COS($N$7))^2)</f>
        <v>-6762.2475856014062</v>
      </c>
      <c r="BC7" s="194">
        <f>((AZ7*COS($N$7))-(AU7*COS($N$7)))/((BA7-AV7)*AP7)</f>
        <v>-5023.880597014926</v>
      </c>
      <c r="BE7" s="793"/>
      <c r="BF7" s="130">
        <v>4</v>
      </c>
      <c r="BG7" s="130">
        <v>7416</v>
      </c>
      <c r="BH7" s="130" t="s">
        <v>27</v>
      </c>
      <c r="BI7" s="311">
        <f>'Structural Information'!$U$6</f>
        <v>3</v>
      </c>
      <c r="BJ7" s="352">
        <f>('Structural Information'!$X$24)*(200)/$BI7</f>
        <v>53616.514621265807</v>
      </c>
      <c r="BK7" s="353">
        <f>'Structural Information'!$T$23*'Structural Information'!$T$24*(4700*SQRT('Structural Information'!$AC$18))/(BI7*1000)</f>
        <v>433495.56258141535</v>
      </c>
      <c r="BM7" s="640"/>
      <c r="BN7" s="293" t="s">
        <v>420</v>
      </c>
      <c r="BO7" s="354">
        <f>'Structural Information'!$AC$8</f>
        <v>4.5</v>
      </c>
      <c r="BP7" s="62">
        <f t="shared" ref="BP7:BU7" si="19">(BP$4/$BO7)</f>
        <v>0.66666666666666663</v>
      </c>
      <c r="BQ7" s="62">
        <f>(BQ$4/$BO7)</f>
        <v>0.66666666666666663</v>
      </c>
      <c r="BR7" s="62">
        <f t="shared" si="19"/>
        <v>0.66666666666666663</v>
      </c>
      <c r="BS7" s="62">
        <f t="shared" si="19"/>
        <v>0.66666666666666663</v>
      </c>
      <c r="BT7" s="62">
        <f t="shared" si="19"/>
        <v>0.66666666666666663</v>
      </c>
      <c r="BU7" s="194">
        <f t="shared" si="19"/>
        <v>0.61111111111111116</v>
      </c>
      <c r="BW7" s="640"/>
      <c r="BX7" s="355" t="s">
        <v>277</v>
      </c>
      <c r="BY7" s="319">
        <f>1/($BC$4)</f>
        <v>-1.990493166963755E-4</v>
      </c>
      <c r="BZ7" s="319">
        <f>1/($BC$7)</f>
        <v>-1.990493166963755E-4</v>
      </c>
      <c r="CA7" s="319">
        <f>1/($BC$10)</f>
        <v>-1.990493166963755E-4</v>
      </c>
      <c r="CB7" s="319">
        <f>1/($BC$13)</f>
        <v>-1.990493166963755E-4</v>
      </c>
      <c r="CC7" s="319">
        <f>1/($BC$16)</f>
        <v>-1.990493166963755E-4</v>
      </c>
      <c r="CD7" s="320">
        <f>1/($BC$19)</f>
        <v>-1.8463403880070539E-4</v>
      </c>
      <c r="CF7" s="724">
        <v>5</v>
      </c>
      <c r="CG7" s="334">
        <v>1</v>
      </c>
      <c r="CH7" s="806">
        <f>1/(BZ5+BZ4+CA4+CB4+CC4+CD4+CA8+CB8+CC8+CD8)+1/(BZ10+BZ9+CA9+CB9+CC9+CD9+CA13+CB13+CC13+CD13)+1/(BZ15+BZ14+CA14+CB14+CC14+CD14+CA18+CB18+CC18+CD18)</f>
        <v>37512.847967601992</v>
      </c>
      <c r="CI7" s="806">
        <f>1/(BZ6+BZ4+CA4+CB4+CC4+CD4+CA8+CB8+CC8+CD8)+1/(BZ11+BZ9+CA9+CB9+CC9+CD9+CA13+CB13+CC13+CD13)+1/(BZ16+BZ14+CA14+CB14+CC14+CD14+CA18+CB18+CC18+CD18)</f>
        <v>6029.2013709953189</v>
      </c>
      <c r="CJ7" s="810">
        <f>1/(BZ7+BZ4+CA4+CB4+CC4+CD4+CA8+CB8+CC8+CD8)+1/(BZ12+BZ9+CA9+CB9+CC9+CD9+CA13+CB13+CC13+CD13)+1/(BZ17+BZ14+CA14+CB14+CC14+CD14+CA18+CB18+CC18+CD18)</f>
        <v>-12654.131550653634</v>
      </c>
      <c r="CL7" s="335">
        <f>'System Capacities'!C22</f>
        <v>3</v>
      </c>
      <c r="CM7" s="838" t="str">
        <f>'System Capacities'!D22</f>
        <v>Diagonal failure / Column</v>
      </c>
      <c r="CN7" s="818"/>
      <c r="CO7" s="818"/>
      <c r="CP7" s="86">
        <f>'System Capacities'!G22</f>
        <v>215.42400000000004</v>
      </c>
      <c r="CQ7" s="70">
        <f>'Structural Information'!U9</f>
        <v>3</v>
      </c>
      <c r="CR7" s="323">
        <f>'System Capacities'!I22</f>
        <v>1.7915672005543457E-3</v>
      </c>
      <c r="CS7" s="324">
        <f>'System Capacities'!J22</f>
        <v>40081.108862554094</v>
      </c>
      <c r="CX7" s="19"/>
    </row>
    <row r="8" spans="2:105" x14ac:dyDescent="0.25">
      <c r="B8" s="816"/>
      <c r="C8" s="69">
        <v>2</v>
      </c>
      <c r="D8" s="69">
        <v>215</v>
      </c>
      <c r="E8" s="70">
        <f>'Structural Information'!$U$7</f>
        <v>3</v>
      </c>
      <c r="F8" s="70">
        <f>'Structural Information'!$AC$7</f>
        <v>2</v>
      </c>
      <c r="G8" s="70">
        <v>0.5</v>
      </c>
      <c r="H8" s="70">
        <v>0.25</v>
      </c>
      <c r="I8" s="70">
        <v>0.25</v>
      </c>
      <c r="J8" s="325">
        <f t="shared" si="0"/>
        <v>3.2552083333333332E-4</v>
      </c>
      <c r="K8" s="70">
        <f t="shared" si="13"/>
        <v>1.75</v>
      </c>
      <c r="L8" s="70">
        <f t="shared" si="1"/>
        <v>2.5</v>
      </c>
      <c r="M8" s="70">
        <f t="shared" si="2"/>
        <v>3.0516389039334255</v>
      </c>
      <c r="N8" s="324">
        <f t="shared" si="14"/>
        <v>0.96007036240568799</v>
      </c>
      <c r="P8" s="68" t="s">
        <v>164</v>
      </c>
      <c r="Q8" s="356">
        <v>1.3</v>
      </c>
      <c r="R8" s="356">
        <v>0.70699999999999996</v>
      </c>
      <c r="S8" s="356">
        <v>0.47</v>
      </c>
      <c r="U8" s="792"/>
      <c r="V8" s="326">
        <v>2</v>
      </c>
      <c r="W8" s="69">
        <v>215</v>
      </c>
      <c r="X8" s="70">
        <f>1/((((COS(N8))^4)/'Structural Information'!$AH$17)+(((SIN(N8))^4)/'Structural Information'!$AH$18)+(((SIN(N8))^2)*((COS(N8))^2)*((1/'Structural Information'!$AH$19)-(2*'Structural Information'!$AL$19/'Structural Information'!$AH$18))))</f>
        <v>1979.5941814167948</v>
      </c>
      <c r="Y8" s="70">
        <f>((X8*('Structural Information'!$AL$17/1000)*SIN(2*N8))/(4*'Structural Information'!$AH$20*J8*L8))^(1/4)</f>
        <v>1.2047928056896782</v>
      </c>
      <c r="Z8" s="70">
        <f t="shared" si="3"/>
        <v>3.6143784170690347</v>
      </c>
      <c r="AA8" s="327">
        <f t="shared" si="4"/>
        <v>0.70699999999999996</v>
      </c>
      <c r="AB8" s="327">
        <f t="shared" si="5"/>
        <v>0.01</v>
      </c>
      <c r="AC8" s="70">
        <f t="shared" si="6"/>
        <v>0.62744024595813885</v>
      </c>
      <c r="AD8" s="70">
        <f>((0.6*'Structural Information'!$AJ$17)+(0.3*'Structural Information'!$AL$18))/(AC8/M8)</f>
        <v>1.604998794363627</v>
      </c>
      <c r="AE8" s="70">
        <f>(((1.2*SIN(N8)+0.45*COS(N8))*'Structural Information'!$AJ$18)+(0.3*'Structural Information'!$AL$18))/(AC8/M8)</f>
        <v>2.6560298143692624</v>
      </c>
      <c r="AF8" s="70">
        <f>(1.12*'Structural Information'!$AJ$19*COS(N8)*SIN(N8))/((AA8*(Z8^(-0.12)))+(AB8*(Z8^(0.88))))</f>
        <v>1.6686772635859319</v>
      </c>
      <c r="AG8" s="70">
        <f>(1.16*'Structural Information'!$AJ$19*TAN(N8))/((AA8)+(AB8*Z8))</f>
        <v>4.5044157573949528</v>
      </c>
      <c r="AH8" s="70">
        <f t="shared" si="7"/>
        <v>1.604998794363627</v>
      </c>
      <c r="AI8" s="70">
        <f>AH8*AC8*'Structural Information'!$AL$17</f>
        <v>80.563267063842432</v>
      </c>
      <c r="AJ8" s="70">
        <f t="shared" si="8"/>
        <v>64.450613651073951</v>
      </c>
      <c r="AK8" s="324">
        <f t="shared" si="9"/>
        <v>8.0563267063842439</v>
      </c>
      <c r="AM8" s="801"/>
      <c r="AN8" s="61">
        <v>2</v>
      </c>
      <c r="AO8" s="61">
        <v>215</v>
      </c>
      <c r="AP8" s="328">
        <v>3</v>
      </c>
      <c r="AQ8" s="20">
        <f t="shared" si="10"/>
        <v>64.450613651073951</v>
      </c>
      <c r="AR8" s="63">
        <f t="shared" si="15"/>
        <v>8.0000000000000004E-4</v>
      </c>
      <c r="AS8" s="62">
        <f>AQ8/(AR8*(SQRT(($F$8^2)+($E$8^2))))</f>
        <v>22344.230024429471</v>
      </c>
      <c r="AT8" s="329">
        <f>AS8*((COS($N$8))^2)</f>
        <v>7348.1024912553303</v>
      </c>
      <c r="AU8" s="20">
        <f t="shared" si="11"/>
        <v>80.563267063842432</v>
      </c>
      <c r="AV8" s="63">
        <f t="shared" si="16"/>
        <v>2.2000000000000001E-3</v>
      </c>
      <c r="AW8" s="62">
        <f>AU8/(AV8*(SQRT(($F$8^2)+($E$8^2))))</f>
        <v>10156.468192922484</v>
      </c>
      <c r="AX8" s="210">
        <f>(AU8-AQ8)/((AV8-AR8)*(SQRT(($F$8^2)+($E$8^2))))</f>
        <v>3192.0328606327794</v>
      </c>
      <c r="AY8" s="329">
        <f>AX8*((COS($N$8))^2)</f>
        <v>1049.7289273221893</v>
      </c>
      <c r="AZ8" s="20">
        <f t="shared" si="12"/>
        <v>8.0563267063842439</v>
      </c>
      <c r="BA8" s="63">
        <f t="shared" si="17"/>
        <v>8.8999999999999999E-3</v>
      </c>
      <c r="BB8" s="62">
        <f>BC8/((COS($N$8))^2)</f>
        <v>-6290.4051172707887</v>
      </c>
      <c r="BC8" s="194">
        <f>((AZ8*COS($N$8))-(AU8*COS($N$8)))/((BA8-AV8)*AP8)</f>
        <v>-2068.6567164179105</v>
      </c>
      <c r="BE8" s="791">
        <v>5</v>
      </c>
      <c r="BF8" s="102">
        <v>1</v>
      </c>
      <c r="BG8" s="102">
        <v>7115</v>
      </c>
      <c r="BH8" s="102" t="s">
        <v>27</v>
      </c>
      <c r="BI8" s="357">
        <f>'Structural Information'!$U$7</f>
        <v>3</v>
      </c>
      <c r="BJ8" s="358">
        <f>('Structural Information'!$X$24)*(200)/$BI8</f>
        <v>53616.514621265807</v>
      </c>
      <c r="BK8" s="313">
        <f>'Structural Information'!$T$23*'Structural Information'!$T$24*(4700*SQRT('Structural Information'!$AC$18))/(BI8*1000)</f>
        <v>433495.56258141535</v>
      </c>
      <c r="BM8" s="640"/>
      <c r="BN8" s="359" t="s">
        <v>419</v>
      </c>
      <c r="BO8" s="360">
        <f>'Structural Information'!$AC$8</f>
        <v>4.5</v>
      </c>
      <c r="BP8" s="361">
        <f>BQ8+BP7</f>
        <v>3.9444444444444438</v>
      </c>
      <c r="BQ8" s="361">
        <f>BR8+BQ7</f>
        <v>3.2777777777777772</v>
      </c>
      <c r="BR8" s="361">
        <f>BS8+BR7</f>
        <v>2.6111111111111107</v>
      </c>
      <c r="BS8" s="361">
        <f>BT8+BS7</f>
        <v>1.9444444444444442</v>
      </c>
      <c r="BT8" s="361">
        <f>BU8+BT7</f>
        <v>1.2777777777777777</v>
      </c>
      <c r="BU8" s="362">
        <f>BU7</f>
        <v>0.61111111111111116</v>
      </c>
      <c r="BW8" s="640"/>
      <c r="BX8" s="363" t="s">
        <v>280</v>
      </c>
      <c r="BY8" s="364">
        <f>(BP7*BP7)/$BK$5</f>
        <v>1.0252571947861007E-6</v>
      </c>
      <c r="BZ8" s="364">
        <f>(BQ7*BQ7)/$BK$9</f>
        <v>1.0252571947861007E-6</v>
      </c>
      <c r="CA8" s="364">
        <f>(BR7*BR7)/$BK$13</f>
        <v>1.0252571947861007E-6</v>
      </c>
      <c r="CB8" s="364">
        <f>(BS7*BS7)/$BK$17</f>
        <v>7.1198416304590332E-7</v>
      </c>
      <c r="CC8" s="364">
        <f>(BT7*BT7)/$BK$21</f>
        <v>7.1198416304590332E-7</v>
      </c>
      <c r="CD8" s="365">
        <f>(BU7*BU7)/$BK$25</f>
        <v>2.82038964587529E-7</v>
      </c>
      <c r="CF8" s="640"/>
      <c r="CG8" s="334">
        <v>2</v>
      </c>
      <c r="CH8" s="806"/>
      <c r="CI8" s="806"/>
      <c r="CJ8" s="810"/>
      <c r="CL8" s="335">
        <f>'System Capacities'!C23</f>
        <v>2</v>
      </c>
      <c r="CM8" s="838" t="str">
        <f>'System Capacities'!D23</f>
        <v>Diagonal failure / Mixed</v>
      </c>
      <c r="CN8" s="818"/>
      <c r="CO8" s="818"/>
      <c r="CP8" s="86">
        <f>'System Capacities'!G23</f>
        <v>215.42400000000004</v>
      </c>
      <c r="CQ8" s="70">
        <f>'Structural Information'!U10</f>
        <v>3</v>
      </c>
      <c r="CR8" s="323">
        <f>'System Capacities'!I23</f>
        <v>1.7342707198796904E-3</v>
      </c>
      <c r="CS8" s="324">
        <f>'System Capacities'!J23</f>
        <v>41405.300324150929</v>
      </c>
    </row>
    <row r="9" spans="2:105" ht="16.5" thickBot="1" x14ac:dyDescent="0.3">
      <c r="B9" s="817"/>
      <c r="C9" s="336">
        <v>3</v>
      </c>
      <c r="D9" s="336">
        <v>315</v>
      </c>
      <c r="E9" s="150">
        <f>'Structural Information'!$U$7</f>
        <v>3</v>
      </c>
      <c r="F9" s="150">
        <f>'Structural Information'!$AC$6</f>
        <v>4.5</v>
      </c>
      <c r="G9" s="150">
        <v>0.5</v>
      </c>
      <c r="H9" s="150">
        <v>0.25</v>
      </c>
      <c r="I9" s="150">
        <v>0.25</v>
      </c>
      <c r="J9" s="337">
        <f t="shared" si="0"/>
        <v>3.2552083333333332E-4</v>
      </c>
      <c r="K9" s="150">
        <f t="shared" si="13"/>
        <v>4.25</v>
      </c>
      <c r="L9" s="150">
        <f t="shared" si="1"/>
        <v>2.5</v>
      </c>
      <c r="M9" s="150">
        <f t="shared" si="2"/>
        <v>4.9307707308290052</v>
      </c>
      <c r="N9" s="338">
        <f t="shared" si="14"/>
        <v>0.53172406725880561</v>
      </c>
      <c r="P9" s="68" t="s">
        <v>165</v>
      </c>
      <c r="Q9" s="356">
        <v>-0.17799999999999999</v>
      </c>
      <c r="R9" s="356">
        <v>0.01</v>
      </c>
      <c r="S9" s="356">
        <v>0.04</v>
      </c>
      <c r="U9" s="794"/>
      <c r="V9" s="339">
        <v>3</v>
      </c>
      <c r="W9" s="336">
        <v>315</v>
      </c>
      <c r="X9" s="150">
        <f>1/((((COS(N9))^4)/'Structural Information'!$AH$17)+(((SIN(N9))^4)/'Structural Information'!$AH$18)+(((SIN(N9))^2)*((COS(N9))^2)*((1/'Structural Information'!$AH$19)-(2*'Structural Information'!$AL$19/'Structural Information'!$AH$18))))</f>
        <v>1375.8363758228218</v>
      </c>
      <c r="Y9" s="150">
        <f>((X9*('Structural Information'!$AL$17/1000)*SIN(2*N9))/(4*'Structural Information'!$AH$20*J9*L9))^(1/4)</f>
        <v>1.0803311717923612</v>
      </c>
      <c r="Z9" s="150">
        <f t="shared" si="3"/>
        <v>3.2409935153770837</v>
      </c>
      <c r="AA9" s="340">
        <f t="shared" si="4"/>
        <v>0.70699999999999996</v>
      </c>
      <c r="AB9" s="340">
        <f t="shared" si="5"/>
        <v>0.01</v>
      </c>
      <c r="AC9" s="150">
        <f t="shared" si="6"/>
        <v>1.1249207531710215</v>
      </c>
      <c r="AD9" s="150">
        <f>((0.6*'Structural Information'!$AJ$17)+(0.3*'Structural Information'!$AL$18))/(AC9/M9)</f>
        <v>1.446461305462462</v>
      </c>
      <c r="AE9" s="150">
        <f>(((1.2*SIN(N9)+0.45*COS(N9))*'Structural Information'!$AJ$18)+(0.3*'Structural Information'!$AL$18))/(AC9/M9)</f>
        <v>1.9214686847113289</v>
      </c>
      <c r="AF9" s="150">
        <f>(1.12*'Structural Information'!$AJ$19*COS(N9)*SIN(N9))/((AA9*(Z9^(-0.12)))+(AB9*(Z9^(0.88))))</f>
        <v>1.5398017536539861</v>
      </c>
      <c r="AG9" s="150">
        <f>(1.16*'Structural Information'!$AJ$19*TAN(N9))/((AA9)+(AB9*Z9))</f>
        <v>1.8641255353024468</v>
      </c>
      <c r="AH9" s="150">
        <f t="shared" si="7"/>
        <v>1.446461305462462</v>
      </c>
      <c r="AI9" s="150">
        <f>AH9*AC9*'Structural Information'!$AL$17</f>
        <v>130.17234729388574</v>
      </c>
      <c r="AJ9" s="150">
        <f t="shared" si="8"/>
        <v>104.1378778351086</v>
      </c>
      <c r="AK9" s="338">
        <f t="shared" si="9"/>
        <v>13.017234729388575</v>
      </c>
      <c r="AM9" s="801"/>
      <c r="AN9" s="61">
        <v>3</v>
      </c>
      <c r="AO9" s="61">
        <v>315</v>
      </c>
      <c r="AP9" s="328">
        <v>3</v>
      </c>
      <c r="AQ9" s="20">
        <f t="shared" si="10"/>
        <v>104.1378778351086</v>
      </c>
      <c r="AR9" s="63">
        <f t="shared" si="15"/>
        <v>8.0000000000000004E-4</v>
      </c>
      <c r="AS9" s="62">
        <f>AQ9/(AR9*(SQRT(($F$9^2)+($E$9^2))))</f>
        <v>24068.875529005698</v>
      </c>
      <c r="AT9" s="329">
        <f>AS9*((COS($N$9))^2)</f>
        <v>17881.503927718884</v>
      </c>
      <c r="AU9" s="20">
        <f t="shared" si="11"/>
        <v>130.17234729388574</v>
      </c>
      <c r="AV9" s="63">
        <f t="shared" si="16"/>
        <v>2.2000000000000001E-3</v>
      </c>
      <c r="AW9" s="62">
        <f>AU9/(AV9*(SQRT(($F$9^2)+($E$9^2))))</f>
        <v>10940.397967729861</v>
      </c>
      <c r="AX9" s="210">
        <f>(AU9-AQ9)/((AV9-AR9)*(SQRT(($F$9^2)+($E$9^2))))</f>
        <v>3438.410789857955</v>
      </c>
      <c r="AY9" s="329">
        <f>AX9*((COS($N$9))^2)</f>
        <v>2554.5005611026963</v>
      </c>
      <c r="AZ9" s="20">
        <f t="shared" si="12"/>
        <v>13.017234729388575</v>
      </c>
      <c r="BA9" s="63">
        <f t="shared" si="17"/>
        <v>8.8999999999999999E-3</v>
      </c>
      <c r="BB9" s="62">
        <f>BC9/((COS($N$9))^2)</f>
        <v>-6762.2475856014062</v>
      </c>
      <c r="BC9" s="194">
        <f>((AZ9*COS($N$9))-(AU9*COS($N$9)))/((BA9-AV9)*AP9)</f>
        <v>-5023.880597014926</v>
      </c>
      <c r="BE9" s="792"/>
      <c r="BF9" s="61">
        <v>2</v>
      </c>
      <c r="BG9" s="61">
        <v>7215</v>
      </c>
      <c r="BH9" s="61" t="s">
        <v>27</v>
      </c>
      <c r="BI9" s="311">
        <f>'Structural Information'!$U$7</f>
        <v>3</v>
      </c>
      <c r="BJ9" s="73">
        <f>('Structural Information'!$X$24)*(200)/$BI9</f>
        <v>53616.514621265807</v>
      </c>
      <c r="BK9" s="330">
        <f>'Structural Information'!$T$23*'Structural Information'!$T$24*(4700*SQRT('Structural Information'!$AC$18))/(BI9*1000)</f>
        <v>433495.56258141535</v>
      </c>
      <c r="BM9" s="790">
        <v>2</v>
      </c>
      <c r="BN9" s="331" t="s">
        <v>421</v>
      </c>
      <c r="BO9" s="332">
        <f>'Structural Information'!$AC$7</f>
        <v>2</v>
      </c>
      <c r="BP9" s="103">
        <f t="shared" ref="BP9:BU9" si="20">(BP$4/$BO9)</f>
        <v>1.5</v>
      </c>
      <c r="BQ9" s="103">
        <f t="shared" si="20"/>
        <v>1.5</v>
      </c>
      <c r="BR9" s="103">
        <f t="shared" si="20"/>
        <v>1.5</v>
      </c>
      <c r="BS9" s="103">
        <f t="shared" si="20"/>
        <v>1.5</v>
      </c>
      <c r="BT9" s="103">
        <f t="shared" si="20"/>
        <v>1.5</v>
      </c>
      <c r="BU9" s="310">
        <f t="shared" si="20"/>
        <v>1.375</v>
      </c>
      <c r="BW9" s="640">
        <v>2</v>
      </c>
      <c r="BX9" s="366" t="s">
        <v>281</v>
      </c>
      <c r="BY9" s="367">
        <f>(BP9*BP9)/$BK$5</f>
        <v>5.190364548604635E-6</v>
      </c>
      <c r="BZ9" s="367">
        <f>(BQ9*BQ9)/$BK$9</f>
        <v>5.190364548604635E-6</v>
      </c>
      <c r="CA9" s="367">
        <f>(BR9*BR9)/$BK$13</f>
        <v>5.190364548604635E-6</v>
      </c>
      <c r="CB9" s="367">
        <f>(BS9*BS9)/$BK$17</f>
        <v>3.6044198254198856E-6</v>
      </c>
      <c r="CC9" s="367">
        <f>(BT9*BT9)/$BK$21</f>
        <v>3.6044198254198856E-6</v>
      </c>
      <c r="CD9" s="368">
        <f>(BU9*BU9)/$BK$25</f>
        <v>1.4278222582243652E-6</v>
      </c>
      <c r="CF9" s="722"/>
      <c r="CG9" s="334">
        <v>3</v>
      </c>
      <c r="CH9" s="806"/>
      <c r="CI9" s="806"/>
      <c r="CJ9" s="810"/>
      <c r="CL9" s="369">
        <f>'System Capacities'!C24</f>
        <v>1</v>
      </c>
      <c r="CM9" s="839" t="str">
        <f>'System Capacities'!D24</f>
        <v>Diagonal failure / Mixed</v>
      </c>
      <c r="CN9" s="840"/>
      <c r="CO9" s="840"/>
      <c r="CP9" s="370">
        <f>'System Capacities'!G24</f>
        <v>209.08800000000008</v>
      </c>
      <c r="CQ9" s="150">
        <f>'Structural Information'!U11</f>
        <v>2.75</v>
      </c>
      <c r="CR9" s="371">
        <f>'System Capacities'!I24</f>
        <v>1.7606502644787157E-3</v>
      </c>
      <c r="CS9" s="338">
        <f>'System Capacities'!J24</f>
        <v>43184.044857716923</v>
      </c>
    </row>
    <row r="10" spans="2:105" ht="16.5" thickBot="1" x14ac:dyDescent="0.3">
      <c r="B10" s="815">
        <v>4</v>
      </c>
      <c r="C10" s="303">
        <v>1</v>
      </c>
      <c r="D10" s="303">
        <v>114</v>
      </c>
      <c r="E10" s="304">
        <f>'Structural Information'!$U$8</f>
        <v>3</v>
      </c>
      <c r="F10" s="304">
        <f>'Structural Information'!$AC$8</f>
        <v>4.5</v>
      </c>
      <c r="G10" s="304">
        <v>0.5</v>
      </c>
      <c r="H10" s="304">
        <v>0.25</v>
      </c>
      <c r="I10" s="304">
        <v>0.25</v>
      </c>
      <c r="J10" s="349">
        <f t="shared" si="0"/>
        <v>3.2552083333333332E-4</v>
      </c>
      <c r="K10" s="304">
        <f t="shared" si="13"/>
        <v>4.25</v>
      </c>
      <c r="L10" s="304">
        <f t="shared" si="1"/>
        <v>2.5</v>
      </c>
      <c r="M10" s="304">
        <f t="shared" si="2"/>
        <v>4.9307707308290052</v>
      </c>
      <c r="N10" s="306">
        <f t="shared" si="14"/>
        <v>0.53172406725880561</v>
      </c>
      <c r="U10" s="795">
        <v>4</v>
      </c>
      <c r="V10" s="302">
        <v>1</v>
      </c>
      <c r="W10" s="303">
        <v>114</v>
      </c>
      <c r="X10" s="304">
        <f>1/((((COS(N10))^4)/'Structural Information'!$AH$17)+(((SIN(N10))^4)/'Structural Information'!$AH$18)+(((SIN(N10))^2)*((COS(N10))^2)*((1/'Structural Information'!$AH$19)-(2*'Structural Information'!$AL$19/'Structural Information'!$AH$18))))</f>
        <v>1375.8363758228218</v>
      </c>
      <c r="Y10" s="304">
        <f>((X10*('Structural Information'!$AL$17/1000)*SIN(2*N10))/(4*'Structural Information'!$AH$20*J10*L10))^(1/4)</f>
        <v>1.0803311717923612</v>
      </c>
      <c r="Z10" s="304">
        <f t="shared" si="3"/>
        <v>3.2409935153770837</v>
      </c>
      <c r="AA10" s="305">
        <f t="shared" si="4"/>
        <v>0.70699999999999996</v>
      </c>
      <c r="AB10" s="305">
        <f t="shared" si="5"/>
        <v>0.01</v>
      </c>
      <c r="AC10" s="304">
        <f t="shared" si="6"/>
        <v>1.1249207531710215</v>
      </c>
      <c r="AD10" s="304">
        <f>((0.6*'Structural Information'!$AJ$17)+(0.3*'Structural Information'!$AL$18))/(AC10/M10)</f>
        <v>1.446461305462462</v>
      </c>
      <c r="AE10" s="304">
        <f>(((1.2*SIN(N10)+0.45*COS(N10))*'Structural Information'!$AJ$18)+(0.3*'Structural Information'!$AL$18))/(AC10/M10)</f>
        <v>1.9214686847113289</v>
      </c>
      <c r="AF10" s="304">
        <f>(1.12*'Structural Information'!$AJ$19*COS(N10)*SIN(N10))/((AA10*(Z10^(-0.12)))+(AB10*(Z10^(0.88))))</f>
        <v>1.5398017536539861</v>
      </c>
      <c r="AG10" s="304">
        <f>(1.16*'Structural Information'!$AJ$19*TAN(N10))/((AA10)+(AB10*Z10))</f>
        <v>1.8641255353024468</v>
      </c>
      <c r="AH10" s="304">
        <f t="shared" si="7"/>
        <v>1.446461305462462</v>
      </c>
      <c r="AI10" s="304">
        <f>AH10*AC10*'Structural Information'!$AL$17</f>
        <v>130.17234729388574</v>
      </c>
      <c r="AJ10" s="304">
        <f t="shared" si="8"/>
        <v>104.1378778351086</v>
      </c>
      <c r="AK10" s="306">
        <f t="shared" si="9"/>
        <v>13.017234729388575</v>
      </c>
      <c r="AM10" s="800">
        <v>4</v>
      </c>
      <c r="AN10" s="102">
        <v>1</v>
      </c>
      <c r="AO10" s="102">
        <v>114</v>
      </c>
      <c r="AP10" s="307">
        <v>3</v>
      </c>
      <c r="AQ10" s="308">
        <f t="shared" si="10"/>
        <v>104.1378778351086</v>
      </c>
      <c r="AR10" s="271">
        <f t="shared" si="15"/>
        <v>8.0000000000000004E-4</v>
      </c>
      <c r="AS10" s="103">
        <f>AQ10/(AR10*(SQRT(($F$10^2)+($E$10^2))))</f>
        <v>24068.875529005698</v>
      </c>
      <c r="AT10" s="309">
        <f>AS10*((COS($N$10))^2)</f>
        <v>17881.503927718884</v>
      </c>
      <c r="AU10" s="308">
        <f t="shared" si="11"/>
        <v>130.17234729388574</v>
      </c>
      <c r="AV10" s="271">
        <f t="shared" si="16"/>
        <v>2.2000000000000001E-3</v>
      </c>
      <c r="AW10" s="103">
        <f>AU10/(AV10*(SQRT(($F$10^2)+($E$10^2))))</f>
        <v>10940.397967729861</v>
      </c>
      <c r="AX10" s="208">
        <f>(AU10-AQ10)/((AV10-AR10)*(SQRT(($F$10^2)+($E$10^2))))</f>
        <v>3438.410789857955</v>
      </c>
      <c r="AY10" s="309">
        <f>AX10*((COS($N$10))^2)</f>
        <v>2554.5005611026963</v>
      </c>
      <c r="AZ10" s="308">
        <f t="shared" si="12"/>
        <v>13.017234729388575</v>
      </c>
      <c r="BA10" s="271">
        <f t="shared" si="17"/>
        <v>8.8999999999999999E-3</v>
      </c>
      <c r="BB10" s="103">
        <f>BC10/((COS($N$10))^2)</f>
        <v>-6762.2475856014062</v>
      </c>
      <c r="BC10" s="310">
        <f>((AZ10*COS($N$10))-(AU10*COS($N$10)))/((BA10-AV10)*AP10)</f>
        <v>-5023.880597014926</v>
      </c>
      <c r="BE10" s="792"/>
      <c r="BF10" s="61">
        <v>3</v>
      </c>
      <c r="BG10" s="61">
        <v>7315</v>
      </c>
      <c r="BH10" s="61" t="s">
        <v>27</v>
      </c>
      <c r="BI10" s="311">
        <f>'Structural Information'!$U$7</f>
        <v>3</v>
      </c>
      <c r="BJ10" s="73">
        <f>('Structural Information'!$X$24)*(200)/$BI10</f>
        <v>53616.514621265807</v>
      </c>
      <c r="BK10" s="330">
        <f>'Structural Information'!$T$23*'Structural Information'!$T$24*(4700*SQRT('Structural Information'!$AC$18))/(BI10*1000)</f>
        <v>433495.56258141535</v>
      </c>
      <c r="BM10" s="790"/>
      <c r="BN10" s="345" t="s">
        <v>419</v>
      </c>
      <c r="BO10" s="346">
        <f>'Structural Information'!$AC$8</f>
        <v>4.5</v>
      </c>
      <c r="BP10" s="60">
        <f>BQ10+BP9</f>
        <v>8.875</v>
      </c>
      <c r="BQ10" s="60">
        <f>BR10+BQ9</f>
        <v>7.375</v>
      </c>
      <c r="BR10" s="60">
        <f>BS10+BR9</f>
        <v>5.875</v>
      </c>
      <c r="BS10" s="60">
        <f>BT10+BS9</f>
        <v>4.375</v>
      </c>
      <c r="BT10" s="60">
        <f>BU10+BT9</f>
        <v>2.875</v>
      </c>
      <c r="BU10" s="347">
        <f>BU9</f>
        <v>1.375</v>
      </c>
      <c r="BW10" s="640"/>
      <c r="BX10" s="333" t="s">
        <v>278</v>
      </c>
      <c r="BY10" s="319">
        <f>1/($AT$5)</f>
        <v>1.3608955525457874E-4</v>
      </c>
      <c r="BZ10" s="319">
        <f>1/($AT$8)</f>
        <v>1.3608955525457874E-4</v>
      </c>
      <c r="CA10" s="319">
        <f>1/($AT$11)</f>
        <v>1.3608955525457874E-4</v>
      </c>
      <c r="CB10" s="319">
        <f>1/($AT$14)</f>
        <v>1.4287064467264919E-4</v>
      </c>
      <c r="CC10" s="319">
        <f>1/($AT$17)</f>
        <v>1.4287064467264919E-4</v>
      </c>
      <c r="CD10" s="320">
        <f>1/($AT$20)</f>
        <v>1.5480050297019224E-4</v>
      </c>
      <c r="CF10" s="640">
        <v>4</v>
      </c>
      <c r="CG10" s="321">
        <v>1</v>
      </c>
      <c r="CH10" s="808">
        <f>1/(CA5+CA4+CB4+CC4+CD4+CB8+CC8+CD8)+1/(CA10+CA9+CB9+CC9+CD9+CB13+CC13+CD13)+1/(CA15+CA14+CB14+CC14+CD14+CB18+CC18+CD18)</f>
        <v>38958.01409226143</v>
      </c>
      <c r="CI10" s="808">
        <f>1/(CA6+CA4+CB4+CC4+CD4+CB8+CC8+CD8)+1/(CA11+CA9+CB9+CC9+CD9+CB13+CC13+CD13)+1/(CA16+CA14+CB14+CC14+CD14+CB18+CC18+CD18)</f>
        <v>6065.9173380903885</v>
      </c>
      <c r="CJ10" s="832">
        <f>1/(CA7+CA4+CB4+CC4+CD4+CB8+CC8+CD8)+1/(CA12+CA9+CB9+CC9+CD9+CB13+CC13+CD13)+1/(CA17+CA14+CB14+CC14+CD14+CB18+CC18+CD18)</f>
        <v>-12493.696972244517</v>
      </c>
    </row>
    <row r="11" spans="2:105" ht="15" customHeight="1" thickBot="1" x14ac:dyDescent="0.3">
      <c r="B11" s="816"/>
      <c r="C11" s="69">
        <v>2</v>
      </c>
      <c r="D11" s="69">
        <v>214</v>
      </c>
      <c r="E11" s="70">
        <f>'Structural Information'!$U$8</f>
        <v>3</v>
      </c>
      <c r="F11" s="70">
        <f>'Structural Information'!$AC$7</f>
        <v>2</v>
      </c>
      <c r="G11" s="70">
        <v>0.5</v>
      </c>
      <c r="H11" s="70">
        <v>0.25</v>
      </c>
      <c r="I11" s="70">
        <v>0.25</v>
      </c>
      <c r="J11" s="325">
        <f t="shared" si="0"/>
        <v>3.2552083333333332E-4</v>
      </c>
      <c r="K11" s="70">
        <f t="shared" si="13"/>
        <v>1.75</v>
      </c>
      <c r="L11" s="70">
        <f t="shared" si="1"/>
        <v>2.5</v>
      </c>
      <c r="M11" s="70">
        <f t="shared" si="2"/>
        <v>3.0516389039334255</v>
      </c>
      <c r="N11" s="324">
        <f t="shared" si="14"/>
        <v>0.96007036240568799</v>
      </c>
      <c r="P11" s="716" t="s">
        <v>189</v>
      </c>
      <c r="Q11" s="716"/>
      <c r="R11" s="716"/>
      <c r="S11" s="716"/>
      <c r="U11" s="792"/>
      <c r="V11" s="326">
        <v>2</v>
      </c>
      <c r="W11" s="69">
        <v>214</v>
      </c>
      <c r="X11" s="70">
        <f>1/((((COS(N11))^4)/'Structural Information'!$AH$17)+(((SIN(N11))^4)/'Structural Information'!$AH$18)+(((SIN(N11))^2)*((COS(N11))^2)*((1/'Structural Information'!$AH$19)-(2*'Structural Information'!$AL$19/'Structural Information'!$AH$18))))</f>
        <v>1979.5941814167948</v>
      </c>
      <c r="Y11" s="70">
        <f>((X11*('Structural Information'!$AL$17/1000)*SIN(2*N11))/(4*'Structural Information'!$AH$20*J11*L11))^(1/4)</f>
        <v>1.2047928056896782</v>
      </c>
      <c r="Z11" s="70">
        <f t="shared" si="3"/>
        <v>3.6143784170690347</v>
      </c>
      <c r="AA11" s="327">
        <f t="shared" si="4"/>
        <v>0.70699999999999996</v>
      </c>
      <c r="AB11" s="327">
        <f t="shared" si="5"/>
        <v>0.01</v>
      </c>
      <c r="AC11" s="70">
        <f t="shared" si="6"/>
        <v>0.62744024595813885</v>
      </c>
      <c r="AD11" s="70">
        <f>((0.6*'Structural Information'!$AJ$17)+(0.3*'Structural Information'!$AL$18))/(AC11/M11)</f>
        <v>1.604998794363627</v>
      </c>
      <c r="AE11" s="70">
        <f>(((1.2*SIN(N11)+0.45*COS(N11))*'Structural Information'!$AJ$18)+(0.3*'Structural Information'!$AL$18))/(AC11/M11)</f>
        <v>2.6560298143692624</v>
      </c>
      <c r="AF11" s="70">
        <f>(1.12*'Structural Information'!$AJ$19*COS(N11)*SIN(N11))/((AA11*(Z11^(-0.12)))+(AB11*(Z11^(0.88))))</f>
        <v>1.6686772635859319</v>
      </c>
      <c r="AG11" s="70">
        <f>(1.16*'Structural Information'!$AJ$19*TAN(N11))/((AA11)+(AB11*Z11))</f>
        <v>4.5044157573949528</v>
      </c>
      <c r="AH11" s="70">
        <f t="shared" si="7"/>
        <v>1.604998794363627</v>
      </c>
      <c r="AI11" s="70">
        <f>AH11*AC11*'Structural Information'!$AL$17</f>
        <v>80.563267063842432</v>
      </c>
      <c r="AJ11" s="70">
        <f t="shared" si="8"/>
        <v>64.450613651073951</v>
      </c>
      <c r="AK11" s="324">
        <f t="shared" si="9"/>
        <v>8.0563267063842439</v>
      </c>
      <c r="AM11" s="801"/>
      <c r="AN11" s="61">
        <v>2</v>
      </c>
      <c r="AO11" s="61">
        <v>214</v>
      </c>
      <c r="AP11" s="328">
        <v>3</v>
      </c>
      <c r="AQ11" s="20">
        <f t="shared" si="10"/>
        <v>64.450613651073951</v>
      </c>
      <c r="AR11" s="63">
        <f t="shared" si="15"/>
        <v>8.0000000000000004E-4</v>
      </c>
      <c r="AS11" s="62">
        <f>AQ11/(AR11*(SQRT(($F$11^2)+($E$11^2))))</f>
        <v>22344.230024429471</v>
      </c>
      <c r="AT11" s="329">
        <f>AS11*((COS($N$11))^2)</f>
        <v>7348.1024912553303</v>
      </c>
      <c r="AU11" s="20">
        <f t="shared" si="11"/>
        <v>80.563267063842432</v>
      </c>
      <c r="AV11" s="63">
        <f t="shared" si="16"/>
        <v>2.2000000000000001E-3</v>
      </c>
      <c r="AW11" s="62">
        <f>AU11/(AV11*(SQRT(($F$11^2)+($E$11^2))))</f>
        <v>10156.468192922484</v>
      </c>
      <c r="AX11" s="210">
        <f>(AU11-AQ11)/((AV11-AR11)*(SQRT(($F$11^2)+($E$11^2))))</f>
        <v>3192.0328606327794</v>
      </c>
      <c r="AY11" s="329">
        <f>AX11*((COS($N$11))^2)</f>
        <v>1049.7289273221893</v>
      </c>
      <c r="AZ11" s="20">
        <f t="shared" si="12"/>
        <v>8.0563267063842439</v>
      </c>
      <c r="BA11" s="63">
        <f t="shared" si="17"/>
        <v>8.8999999999999999E-3</v>
      </c>
      <c r="BB11" s="62">
        <f>BC11/((COS($N$11))^2)</f>
        <v>-6290.4051172707887</v>
      </c>
      <c r="BC11" s="194">
        <f>((AZ11*COS($N$11))-(AU11*COS($N$11)))/((BA11-AV11)*AP11)</f>
        <v>-2068.6567164179105</v>
      </c>
      <c r="BE11" s="793"/>
      <c r="BF11" s="130">
        <v>4</v>
      </c>
      <c r="BG11" s="130">
        <v>7415</v>
      </c>
      <c r="BH11" s="130" t="s">
        <v>27</v>
      </c>
      <c r="BI11" s="86">
        <f>'Structural Information'!$U$7</f>
        <v>3</v>
      </c>
      <c r="BJ11" s="372">
        <f>('Structural Information'!$X$24)*(200)/$BI11</f>
        <v>53616.514621265807</v>
      </c>
      <c r="BK11" s="353">
        <f>'Structural Information'!$T$23*'Structural Information'!$T$24*(4700*SQRT('Structural Information'!$AC$18))/(BI11*1000)</f>
        <v>433495.56258141535</v>
      </c>
      <c r="BM11" s="790"/>
      <c r="BN11" s="293" t="s">
        <v>422</v>
      </c>
      <c r="BO11" s="354">
        <f>'Structural Information'!$AC$7</f>
        <v>2</v>
      </c>
      <c r="BP11" s="62">
        <f t="shared" ref="BP11:BU11" si="21">(BP$4/$BO11)</f>
        <v>1.5</v>
      </c>
      <c r="BQ11" s="62">
        <f t="shared" si="21"/>
        <v>1.5</v>
      </c>
      <c r="BR11" s="62">
        <f t="shared" si="21"/>
        <v>1.5</v>
      </c>
      <c r="BS11" s="62">
        <f t="shared" si="21"/>
        <v>1.5</v>
      </c>
      <c r="BT11" s="62">
        <f t="shared" si="21"/>
        <v>1.5</v>
      </c>
      <c r="BU11" s="194">
        <f t="shared" si="21"/>
        <v>1.375</v>
      </c>
      <c r="BW11" s="640"/>
      <c r="BX11" s="348" t="s">
        <v>278</v>
      </c>
      <c r="BY11" s="319">
        <f>1/($AY$5)</f>
        <v>9.5262688678205191E-4</v>
      </c>
      <c r="BZ11" s="319">
        <f>1/($AY$8)</f>
        <v>9.5262688678205191E-4</v>
      </c>
      <c r="CA11" s="319">
        <f>1/($AY$11)</f>
        <v>9.5262688678205191E-4</v>
      </c>
      <c r="CB11" s="319">
        <f>1/($AY$14)</f>
        <v>1.0000945127085444E-3</v>
      </c>
      <c r="CC11" s="319">
        <f>1/($AY$17)</f>
        <v>1.0000945127085444E-3</v>
      </c>
      <c r="CD11" s="320">
        <f>1/($AY$20)</f>
        <v>1.0836035207913461E-3</v>
      </c>
      <c r="CF11" s="640"/>
      <c r="CG11" s="334">
        <v>2</v>
      </c>
      <c r="CH11" s="806"/>
      <c r="CI11" s="806"/>
      <c r="CJ11" s="810"/>
      <c r="CL11" s="733" t="s">
        <v>323</v>
      </c>
      <c r="CM11" s="734"/>
      <c r="CN11" s="734"/>
      <c r="CO11" s="734"/>
      <c r="CP11" s="845"/>
      <c r="CQ11" s="823" t="s">
        <v>324</v>
      </c>
      <c r="CR11" s="736"/>
      <c r="CS11" s="736"/>
      <c r="CT11" s="736"/>
      <c r="CU11" s="824"/>
      <c r="CV11" s="828" t="s">
        <v>325</v>
      </c>
      <c r="CW11" s="759"/>
      <c r="CX11" s="759"/>
      <c r="CY11" s="759"/>
      <c r="CZ11" s="760"/>
    </row>
    <row r="12" spans="2:105" ht="16.5" thickBot="1" x14ac:dyDescent="0.3">
      <c r="B12" s="817"/>
      <c r="C12" s="336">
        <v>3</v>
      </c>
      <c r="D12" s="336">
        <v>314</v>
      </c>
      <c r="E12" s="150">
        <f>'Structural Information'!$U$8</f>
        <v>3</v>
      </c>
      <c r="F12" s="150">
        <f>'Structural Information'!$AC$6</f>
        <v>4.5</v>
      </c>
      <c r="G12" s="150">
        <v>0.5</v>
      </c>
      <c r="H12" s="150">
        <v>0.25</v>
      </c>
      <c r="I12" s="150">
        <v>0.25</v>
      </c>
      <c r="J12" s="337">
        <f t="shared" si="0"/>
        <v>3.2552083333333332E-4</v>
      </c>
      <c r="K12" s="150">
        <f t="shared" si="13"/>
        <v>4.25</v>
      </c>
      <c r="L12" s="150">
        <f t="shared" si="1"/>
        <v>2.5</v>
      </c>
      <c r="M12" s="150">
        <f t="shared" si="2"/>
        <v>4.9307707308290052</v>
      </c>
      <c r="N12" s="338">
        <f t="shared" si="14"/>
        <v>0.53172406725880561</v>
      </c>
      <c r="P12" s="796" t="s">
        <v>187</v>
      </c>
      <c r="Q12" s="796"/>
      <c r="R12" s="796"/>
      <c r="S12" s="351" t="s">
        <v>188</v>
      </c>
      <c r="U12" s="794"/>
      <c r="V12" s="339">
        <v>3</v>
      </c>
      <c r="W12" s="336">
        <v>314</v>
      </c>
      <c r="X12" s="150">
        <f>1/((((COS(N12))^4)/'Structural Information'!$AH$17)+(((SIN(N12))^4)/'Structural Information'!$AH$18)+(((SIN(N12))^2)*((COS(N12))^2)*((1/'Structural Information'!$AH$19)-(2*'Structural Information'!$AL$19/'Structural Information'!$AH$18))))</f>
        <v>1375.8363758228218</v>
      </c>
      <c r="Y12" s="150">
        <f>((X12*('Structural Information'!$AL$17/1000)*SIN(2*N12))/(4*'Structural Information'!$AH$20*J12*L12))^(1/4)</f>
        <v>1.0803311717923612</v>
      </c>
      <c r="Z12" s="150">
        <f t="shared" si="3"/>
        <v>3.2409935153770837</v>
      </c>
      <c r="AA12" s="340">
        <f t="shared" si="4"/>
        <v>0.70699999999999996</v>
      </c>
      <c r="AB12" s="340">
        <f t="shared" si="5"/>
        <v>0.01</v>
      </c>
      <c r="AC12" s="150">
        <f t="shared" si="6"/>
        <v>1.1249207531710215</v>
      </c>
      <c r="AD12" s="150">
        <f>((0.6*'Structural Information'!$AJ$17)+(0.3*'Structural Information'!$AL$18))/(AC12/M12)</f>
        <v>1.446461305462462</v>
      </c>
      <c r="AE12" s="150">
        <f>(((1.2*SIN(N12)+0.45*COS(N12))*'Structural Information'!$AJ$18)+(0.3*'Structural Information'!$AL$18))/(AC12/M12)</f>
        <v>1.9214686847113289</v>
      </c>
      <c r="AF12" s="150">
        <f>(1.12*'Structural Information'!$AJ$19*COS(N12)*SIN(N12))/((AA12*(Z12^(-0.12)))+(AB12*(Z12^(0.88))))</f>
        <v>1.5398017536539861</v>
      </c>
      <c r="AG12" s="150">
        <f>(1.16*'Structural Information'!$AJ$19*TAN(N12))/((AA12)+(AB12*Z12))</f>
        <v>1.8641255353024468</v>
      </c>
      <c r="AH12" s="150">
        <f t="shared" si="7"/>
        <v>1.446461305462462</v>
      </c>
      <c r="AI12" s="150">
        <f>AH12*AC12*'Structural Information'!$AL$17</f>
        <v>130.17234729388574</v>
      </c>
      <c r="AJ12" s="150">
        <f t="shared" si="8"/>
        <v>104.1378778351086</v>
      </c>
      <c r="AK12" s="338">
        <f t="shared" si="9"/>
        <v>13.017234729388575</v>
      </c>
      <c r="AM12" s="802"/>
      <c r="AN12" s="130">
        <v>3</v>
      </c>
      <c r="AO12" s="130">
        <v>314</v>
      </c>
      <c r="AP12" s="341">
        <v>3</v>
      </c>
      <c r="AQ12" s="342">
        <f t="shared" si="10"/>
        <v>104.1378778351086</v>
      </c>
      <c r="AR12" s="266">
        <f t="shared" si="15"/>
        <v>8.0000000000000004E-4</v>
      </c>
      <c r="AS12" s="131">
        <f>AQ12/(AR12*(SQRT(($F$12^2)+($E$12^2))))</f>
        <v>24068.875529005698</v>
      </c>
      <c r="AT12" s="343">
        <f>AS12*((COS($N$12))^2)</f>
        <v>17881.503927718884</v>
      </c>
      <c r="AU12" s="342">
        <f t="shared" si="11"/>
        <v>130.17234729388574</v>
      </c>
      <c r="AV12" s="266">
        <f t="shared" si="16"/>
        <v>2.2000000000000001E-3</v>
      </c>
      <c r="AW12" s="131">
        <f>AU12/(AV12*(SQRT(($F$12^2)+($E$12^2))))</f>
        <v>10940.397967729861</v>
      </c>
      <c r="AX12" s="206">
        <f>(AU12-AQ12)/((AV12-AR12)*(SQRT(($F$12^2)+($E$12^2))))</f>
        <v>3438.410789857955</v>
      </c>
      <c r="AY12" s="343">
        <f>AX12*((COS($N$12))^2)</f>
        <v>2554.5005611026963</v>
      </c>
      <c r="AZ12" s="342">
        <f t="shared" si="12"/>
        <v>13.017234729388575</v>
      </c>
      <c r="BA12" s="266">
        <f t="shared" si="17"/>
        <v>8.8999999999999999E-3</v>
      </c>
      <c r="BB12" s="131">
        <f>BC12/((COS($N$12))^2)</f>
        <v>-6762.2475856014062</v>
      </c>
      <c r="BC12" s="344">
        <f>((AZ12*COS($N$12))-(AU12*COS($N$12)))/((BA12-AV12)*AP12)</f>
        <v>-5023.880597014926</v>
      </c>
      <c r="BE12" s="791">
        <v>4</v>
      </c>
      <c r="BF12" s="102">
        <v>1</v>
      </c>
      <c r="BG12" s="102">
        <v>7114</v>
      </c>
      <c r="BH12" s="102" t="s">
        <v>27</v>
      </c>
      <c r="BI12" s="311">
        <f>'Structural Information'!$U$8</f>
        <v>3</v>
      </c>
      <c r="BJ12" s="358">
        <f>('Structural Information'!$X$24)*(200)/$BI12</f>
        <v>53616.514621265807</v>
      </c>
      <c r="BK12" s="313">
        <f>'Structural Information'!$T$23*'Structural Information'!$T$24*(4700*SQRT('Structural Information'!$AC$18))/(BI12*1000)</f>
        <v>433495.56258141535</v>
      </c>
      <c r="BM12" s="790"/>
      <c r="BN12" s="359" t="s">
        <v>419</v>
      </c>
      <c r="BO12" s="360">
        <f>'Structural Information'!$AC$8</f>
        <v>4.5</v>
      </c>
      <c r="BP12" s="361">
        <f>BQ12+BP11</f>
        <v>8.875</v>
      </c>
      <c r="BQ12" s="361">
        <f>BR12+BQ11</f>
        <v>7.375</v>
      </c>
      <c r="BR12" s="361">
        <f>BS12+BR11</f>
        <v>5.875</v>
      </c>
      <c r="BS12" s="361">
        <f>BT12+BS11</f>
        <v>4.375</v>
      </c>
      <c r="BT12" s="361">
        <f>BU12+BT11</f>
        <v>2.875</v>
      </c>
      <c r="BU12" s="362">
        <f>BU11</f>
        <v>1.375</v>
      </c>
      <c r="BW12" s="640"/>
      <c r="BX12" s="355" t="s">
        <v>278</v>
      </c>
      <c r="BY12" s="319">
        <f>1/($BC$5)</f>
        <v>-4.8340548340548341E-4</v>
      </c>
      <c r="BZ12" s="319">
        <f>1/($BC$8)</f>
        <v>-4.8340548340548341E-4</v>
      </c>
      <c r="CA12" s="319">
        <f>1/($BC$11)</f>
        <v>-4.8340548340548341E-4</v>
      </c>
      <c r="CB12" s="319">
        <f>1/($BC$14)</f>
        <v>-4.976232917409388E-4</v>
      </c>
      <c r="CC12" s="319">
        <f>1/($BC$17)</f>
        <v>-4.976232917409388E-4</v>
      </c>
      <c r="CD12" s="320">
        <f>1/($BC$20)</f>
        <v>-5.1697530864197507E-4</v>
      </c>
      <c r="CF12" s="640"/>
      <c r="CG12" s="300">
        <v>3</v>
      </c>
      <c r="CH12" s="809"/>
      <c r="CI12" s="809"/>
      <c r="CJ12" s="833"/>
      <c r="CL12" s="737" t="s">
        <v>217</v>
      </c>
      <c r="CM12" s="843" t="s">
        <v>213</v>
      </c>
      <c r="CN12" s="741" t="s">
        <v>214</v>
      </c>
      <c r="CO12" s="741" t="s">
        <v>215</v>
      </c>
      <c r="CP12" s="848" t="s">
        <v>216</v>
      </c>
      <c r="CQ12" s="821" t="s">
        <v>249</v>
      </c>
      <c r="CR12" s="779" t="s">
        <v>213</v>
      </c>
      <c r="CS12" s="779" t="s">
        <v>214</v>
      </c>
      <c r="CT12" s="827" t="s">
        <v>215</v>
      </c>
      <c r="CU12" s="825" t="s">
        <v>216</v>
      </c>
      <c r="CV12" s="846" t="s">
        <v>329</v>
      </c>
      <c r="CW12" s="749" t="s">
        <v>213</v>
      </c>
      <c r="CX12" s="774" t="s">
        <v>214</v>
      </c>
      <c r="CY12" s="774" t="s">
        <v>215</v>
      </c>
      <c r="CZ12" s="761" t="s">
        <v>216</v>
      </c>
      <c r="DA12" s="373"/>
    </row>
    <row r="13" spans="2:105" x14ac:dyDescent="0.25">
      <c r="B13" s="815">
        <v>3</v>
      </c>
      <c r="C13" s="303">
        <v>1</v>
      </c>
      <c r="D13" s="303">
        <v>113</v>
      </c>
      <c r="E13" s="304">
        <f>'Structural Information'!$U$9</f>
        <v>3</v>
      </c>
      <c r="F13" s="304">
        <f>'Structural Information'!$AC$8</f>
        <v>4.5</v>
      </c>
      <c r="G13" s="304">
        <v>0.5</v>
      </c>
      <c r="H13" s="304">
        <f>0.25</f>
        <v>0.25</v>
      </c>
      <c r="I13" s="304">
        <v>0.25</v>
      </c>
      <c r="J13" s="349">
        <f t="shared" si="0"/>
        <v>3.2552083333333332E-4</v>
      </c>
      <c r="K13" s="304">
        <f t="shared" si="13"/>
        <v>4.25</v>
      </c>
      <c r="L13" s="304">
        <f t="shared" si="1"/>
        <v>2.5</v>
      </c>
      <c r="M13" s="304">
        <f t="shared" si="2"/>
        <v>4.9307707308290052</v>
      </c>
      <c r="N13" s="306">
        <f t="shared" si="14"/>
        <v>0.53172406725880561</v>
      </c>
      <c r="P13" s="818" t="s">
        <v>183</v>
      </c>
      <c r="Q13" s="818"/>
      <c r="R13" s="818"/>
      <c r="S13" s="374" t="s">
        <v>174</v>
      </c>
      <c r="U13" s="795">
        <v>3</v>
      </c>
      <c r="V13" s="302">
        <v>1</v>
      </c>
      <c r="W13" s="303">
        <v>113</v>
      </c>
      <c r="X13" s="304">
        <f>1/((((COS(N13))^4)/'Structural Information'!$AH$17)+(((SIN(N13))^4)/'Structural Information'!$AH$18)+(((SIN(N13))^2)*((COS(N13))^2)*((1/'Structural Information'!$AH$19)-(2*'Structural Information'!$AL$19/'Structural Information'!$AH$18))))</f>
        <v>1375.8363758228218</v>
      </c>
      <c r="Y13" s="304">
        <f>((X13*('Structural Information'!$AL$17/1000)*SIN(2*N13))/(4*'Structural Information'!$AH$20*J13*L13))^(1/4)</f>
        <v>1.0803311717923612</v>
      </c>
      <c r="Z13" s="304">
        <f t="shared" si="3"/>
        <v>3.2409935153770837</v>
      </c>
      <c r="AA13" s="305">
        <f t="shared" si="4"/>
        <v>0.70699999999999996</v>
      </c>
      <c r="AB13" s="305">
        <f t="shared" si="5"/>
        <v>0.01</v>
      </c>
      <c r="AC13" s="304">
        <f t="shared" si="6"/>
        <v>1.1249207531710215</v>
      </c>
      <c r="AD13" s="304">
        <f>((0.6*'Structural Information'!$AJ$17)+(0.3*'Structural Information'!$AL$18))/(AC13/M13)</f>
        <v>1.446461305462462</v>
      </c>
      <c r="AE13" s="304">
        <f>(((1.2*SIN(N13)+0.45*COS(N13))*'Structural Information'!$AJ$18)+(0.3*'Structural Information'!$AL$18))/(AC13/M13)</f>
        <v>1.9214686847113289</v>
      </c>
      <c r="AF13" s="304">
        <f>(1.12*'Structural Information'!$AJ$19*COS(N13)*SIN(N13))/((AA13*(Z13^(-0.12)))+(AB13*(Z13^(0.88))))</f>
        <v>1.5398017536539861</v>
      </c>
      <c r="AG13" s="304">
        <f>(1.16*'Structural Information'!$AJ$19*TAN(N13))/((AA13)+(AB13*Z13))</f>
        <v>1.8641255353024468</v>
      </c>
      <c r="AH13" s="304">
        <f t="shared" si="7"/>
        <v>1.446461305462462</v>
      </c>
      <c r="AI13" s="304">
        <f>AH13*AC13*'Structural Information'!$AL$17</f>
        <v>130.17234729388574</v>
      </c>
      <c r="AJ13" s="304">
        <f t="shared" si="8"/>
        <v>104.1378778351086</v>
      </c>
      <c r="AK13" s="306">
        <f t="shared" si="9"/>
        <v>13.017234729388575</v>
      </c>
      <c r="AM13" s="801">
        <v>3</v>
      </c>
      <c r="AN13" s="61">
        <v>1</v>
      </c>
      <c r="AO13" s="61">
        <v>113</v>
      </c>
      <c r="AP13" s="328">
        <v>3</v>
      </c>
      <c r="AQ13" s="20">
        <f t="shared" si="10"/>
        <v>104.1378778351086</v>
      </c>
      <c r="AR13" s="63">
        <f t="shared" si="15"/>
        <v>8.0000000000000004E-4</v>
      </c>
      <c r="AS13" s="62">
        <f>AQ13/(AR13*(SQRT(($F$13^2)+($E$13^2))))</f>
        <v>24068.875529005698</v>
      </c>
      <c r="AT13" s="329">
        <f>AS13*((COS($N$13))^2)</f>
        <v>17881.503927718884</v>
      </c>
      <c r="AU13" s="20">
        <f t="shared" si="11"/>
        <v>130.17234729388574</v>
      </c>
      <c r="AV13" s="63">
        <f t="shared" si="16"/>
        <v>2.2000000000000001E-3</v>
      </c>
      <c r="AW13" s="62">
        <f>AU13/(AV13*(SQRT(($F$13^2)+($E$13^2))))</f>
        <v>10940.397967729861</v>
      </c>
      <c r="AX13" s="210">
        <f>(AU13-AQ13)/((AV13-AR13)*(SQRT(($F$13^2)+($E$13^2))))</f>
        <v>3438.410789857955</v>
      </c>
      <c r="AY13" s="329">
        <f>AX13*((COS($N$13))^2)</f>
        <v>2554.5005611026963</v>
      </c>
      <c r="AZ13" s="20">
        <f t="shared" si="12"/>
        <v>13.017234729388575</v>
      </c>
      <c r="BA13" s="63">
        <f t="shared" si="17"/>
        <v>8.8999999999999999E-3</v>
      </c>
      <c r="BB13" s="62">
        <f>BC13/((COS($N$13))^2)</f>
        <v>-6762.2475856014062</v>
      </c>
      <c r="BC13" s="194">
        <f>((AZ13*COS($N$13))-(AU13*COS($N$13)))/((BA13-AV13)*AP13)</f>
        <v>-5023.880597014926</v>
      </c>
      <c r="BE13" s="792"/>
      <c r="BF13" s="61">
        <v>2</v>
      </c>
      <c r="BG13" s="61">
        <v>7214</v>
      </c>
      <c r="BH13" s="61" t="s">
        <v>27</v>
      </c>
      <c r="BI13" s="311">
        <f>'Structural Information'!$U$8</f>
        <v>3</v>
      </c>
      <c r="BJ13" s="73">
        <f>('Structural Information'!$X$24)*(200)/$BI13</f>
        <v>53616.514621265807</v>
      </c>
      <c r="BK13" s="330">
        <f>'Structural Information'!$T$23*'Structural Information'!$T$24*(4700*SQRT('Structural Information'!$AC$18))/(BI13*1000)</f>
        <v>433495.56258141535</v>
      </c>
      <c r="BM13" s="640">
        <v>3</v>
      </c>
      <c r="BN13" s="331" t="s">
        <v>423</v>
      </c>
      <c r="BO13" s="332">
        <f>'Structural Information'!$AC$6</f>
        <v>4.5</v>
      </c>
      <c r="BP13" s="103">
        <f t="shared" ref="BP13:BU13" si="22">(BP$4/$BO13)</f>
        <v>0.66666666666666663</v>
      </c>
      <c r="BQ13" s="103">
        <f t="shared" si="22"/>
        <v>0.66666666666666663</v>
      </c>
      <c r="BR13" s="103">
        <f t="shared" si="22"/>
        <v>0.66666666666666663</v>
      </c>
      <c r="BS13" s="103">
        <f t="shared" si="22"/>
        <v>0.66666666666666663</v>
      </c>
      <c r="BT13" s="103">
        <f t="shared" si="22"/>
        <v>0.66666666666666663</v>
      </c>
      <c r="BU13" s="310">
        <f t="shared" si="22"/>
        <v>0.61111111111111116</v>
      </c>
      <c r="BW13" s="640"/>
      <c r="BX13" s="366" t="s">
        <v>282</v>
      </c>
      <c r="BY13" s="364">
        <f>(BP11*BP11)/$BK$6</f>
        <v>5.190364548604635E-6</v>
      </c>
      <c r="BZ13" s="364">
        <f>(BQ11*BQ11)/$BK$10</f>
        <v>5.190364548604635E-6</v>
      </c>
      <c r="CA13" s="364">
        <f>(BR11*BR11)/$BK$14</f>
        <v>5.190364548604635E-6</v>
      </c>
      <c r="CB13" s="364">
        <f>(BS11*BS11)/$BK$18</f>
        <v>3.6044198254198856E-6</v>
      </c>
      <c r="CC13" s="364">
        <f>(BT11*BT11)/$BK$22</f>
        <v>3.6044198254198856E-6</v>
      </c>
      <c r="CD13" s="365">
        <f>(BU11*BU11)/$BK$26</f>
        <v>1.4278222582243652E-6</v>
      </c>
      <c r="CF13" s="724">
        <v>3</v>
      </c>
      <c r="CG13" s="334">
        <v>1</v>
      </c>
      <c r="CH13" s="806">
        <f>1/(CB5+CB4+CC4+CD4+CC8+CD8)+1/(CB10+CB9+CC9+CD9+CC13+CD13)+1/(CB15+CB14+CC14+CD14+CC18+CD18)</f>
        <v>40081.108862554094</v>
      </c>
      <c r="CI13" s="806">
        <f>1/(CB6+CB4+CC4+CD4+CC8+CD8)+1/(CB11+CB9+CC9+CD9+CC13+CD13)+1/(CB16+CB14+CC14+CD14+CC18+CD18)</f>
        <v>6050.9685085188994</v>
      </c>
      <c r="CJ13" s="810">
        <f>1/(CB7+CB4+CC4+CD4+CC8+CD8)+1/(CB12+CB9+CC9+CD9+CC13+CD13)+1/(CB17+CB14+CC14+CD14+CC18+CD18)</f>
        <v>-12290.585991056018</v>
      </c>
      <c r="CL13" s="738"/>
      <c r="CM13" s="844"/>
      <c r="CN13" s="742"/>
      <c r="CO13" s="742"/>
      <c r="CP13" s="849"/>
      <c r="CQ13" s="822"/>
      <c r="CR13" s="744"/>
      <c r="CS13" s="744"/>
      <c r="CT13" s="748"/>
      <c r="CU13" s="826"/>
      <c r="CV13" s="847"/>
      <c r="CW13" s="750"/>
      <c r="CX13" s="775"/>
      <c r="CY13" s="775"/>
      <c r="CZ13" s="762"/>
      <c r="DA13" s="26"/>
    </row>
    <row r="14" spans="2:105" x14ac:dyDescent="0.25">
      <c r="B14" s="816"/>
      <c r="C14" s="69">
        <v>2</v>
      </c>
      <c r="D14" s="69">
        <v>213</v>
      </c>
      <c r="E14" s="70">
        <f>'Structural Information'!$U$9</f>
        <v>3</v>
      </c>
      <c r="F14" s="70">
        <f>'Structural Information'!$AC$7</f>
        <v>2</v>
      </c>
      <c r="G14" s="70">
        <v>0.5</v>
      </c>
      <c r="H14" s="70">
        <f t="shared" ref="H14:H17" si="23">0.3</f>
        <v>0.3</v>
      </c>
      <c r="I14" s="70">
        <v>0.3</v>
      </c>
      <c r="J14" s="325">
        <f t="shared" si="0"/>
        <v>6.7499999999999993E-4</v>
      </c>
      <c r="K14" s="70">
        <f t="shared" si="13"/>
        <v>1.7</v>
      </c>
      <c r="L14" s="70">
        <f t="shared" si="1"/>
        <v>2.5</v>
      </c>
      <c r="M14" s="70">
        <f t="shared" si="2"/>
        <v>3.0232432915661951</v>
      </c>
      <c r="N14" s="324">
        <f t="shared" si="14"/>
        <v>0.97361966870221905</v>
      </c>
      <c r="P14" s="818" t="s">
        <v>185</v>
      </c>
      <c r="Q14" s="818"/>
      <c r="R14" s="818"/>
      <c r="S14" s="374" t="s">
        <v>175</v>
      </c>
      <c r="U14" s="792"/>
      <c r="V14" s="326">
        <v>2</v>
      </c>
      <c r="W14" s="69">
        <v>213</v>
      </c>
      <c r="X14" s="70">
        <f>1/((((COS(N14))^4)/'Structural Information'!$AH$17)+(((SIN(N14))^4)/'Structural Information'!$AH$18)+(((SIN(N14))^2)*((COS(N14))^2)*((1/'Structural Information'!$AH$19)-(2*'Structural Information'!$AL$19/'Structural Information'!$AH$18))))</f>
        <v>1988.4509990748261</v>
      </c>
      <c r="Y14" s="70">
        <f>((X14*('Structural Information'!$AL$17/1000)*SIN(2*N14))/(4*'Structural Information'!$AH$20*J14*L14))^(1/4)</f>
        <v>1.002532686662994</v>
      </c>
      <c r="Z14" s="70">
        <f t="shared" si="3"/>
        <v>3.007598059988982</v>
      </c>
      <c r="AA14" s="327">
        <f t="shared" si="4"/>
        <v>1.3</v>
      </c>
      <c r="AB14" s="327">
        <f t="shared" si="5"/>
        <v>-0.17799999999999999</v>
      </c>
      <c r="AC14" s="70">
        <f t="shared" si="6"/>
        <v>0.76862516722585128</v>
      </c>
      <c r="AD14" s="70">
        <f>((0.6*'Structural Information'!$AJ$17)+(0.3*'Structural Information'!$AL$18))/(AC14/M14)</f>
        <v>1.2979932595983952</v>
      </c>
      <c r="AE14" s="70">
        <f>(((1.2*SIN(N14)+0.45*COS(N14))*'Structural Information'!$AJ$18)+(0.3*'Structural Information'!$AL$18))/(AC14/M14)</f>
        <v>2.155276811946008</v>
      </c>
      <c r="AF14" s="70">
        <f>(1.12*'Structural Information'!$AJ$19*COS(N14)*SIN(N14))/((AA14*(Z14^(-0.12)))+(AB14*(Z14^(0.88))))</f>
        <v>1.5701357544112415</v>
      </c>
      <c r="AG14" s="70">
        <f>(1.16*'Structural Information'!$AJ$19*TAN(N14))/((AA14)+(AB14*Z14))</f>
        <v>4.5064976328280224</v>
      </c>
      <c r="AH14" s="70">
        <f t="shared" si="7"/>
        <v>1.2979932595983952</v>
      </c>
      <c r="AI14" s="70">
        <f>AH14*AC14*'Structural Information'!$AL$17</f>
        <v>79.813622897347543</v>
      </c>
      <c r="AJ14" s="70">
        <f t="shared" si="8"/>
        <v>63.850898317878034</v>
      </c>
      <c r="AK14" s="324">
        <f t="shared" si="9"/>
        <v>7.9813622897347543</v>
      </c>
      <c r="AM14" s="801"/>
      <c r="AN14" s="61">
        <v>2</v>
      </c>
      <c r="AO14" s="61">
        <v>213</v>
      </c>
      <c r="AP14" s="328">
        <v>3</v>
      </c>
      <c r="AQ14" s="20">
        <f t="shared" si="10"/>
        <v>63.850898317878034</v>
      </c>
      <c r="AR14" s="63">
        <f t="shared" si="15"/>
        <v>8.0000000000000004E-4</v>
      </c>
      <c r="AS14" s="62">
        <f>AQ14/(AR14*(SQRT(($F$14^2)+($E$14^2))))</f>
        <v>22136.316141302559</v>
      </c>
      <c r="AT14" s="329">
        <f>AS14*((COS($N$14))^2)</f>
        <v>6999.3384735628451</v>
      </c>
      <c r="AU14" s="20">
        <f t="shared" si="11"/>
        <v>79.813622897347543</v>
      </c>
      <c r="AV14" s="63">
        <f t="shared" si="16"/>
        <v>2.2000000000000001E-3</v>
      </c>
      <c r="AW14" s="62">
        <f>AU14/(AV14*(SQRT(($F$14^2)+($E$14^2))))</f>
        <v>10061.961882410254</v>
      </c>
      <c r="AX14" s="210">
        <f>(AU14-AQ14)/((AV14-AR14)*(SQRT(($F$14^2)+($E$14^2))))</f>
        <v>3162.3308773289368</v>
      </c>
      <c r="AY14" s="329">
        <f>AX14*((COS($N$14))^2)</f>
        <v>999.90549622326353</v>
      </c>
      <c r="AZ14" s="20">
        <f t="shared" si="12"/>
        <v>7.9813622897347543</v>
      </c>
      <c r="BA14" s="63">
        <f t="shared" si="17"/>
        <v>8.8999999999999999E-3</v>
      </c>
      <c r="BB14" s="62">
        <f>BC14/((COS($N$14))^2)</f>
        <v>-6355.4697102721684</v>
      </c>
      <c r="BC14" s="194">
        <f>((AZ14*COS($N$14))-(AU14*COS($N$14)))/((BA14-AV14)*AP14)</f>
        <v>-2009.5522388059703</v>
      </c>
      <c r="BE14" s="792"/>
      <c r="BF14" s="61">
        <v>3</v>
      </c>
      <c r="BG14" s="61">
        <v>7314</v>
      </c>
      <c r="BH14" s="61" t="s">
        <v>27</v>
      </c>
      <c r="BI14" s="311">
        <f>'Structural Information'!$U$8</f>
        <v>3</v>
      </c>
      <c r="BJ14" s="73">
        <f>('Structural Information'!$X$24)*(200)/$BI14</f>
        <v>53616.514621265807</v>
      </c>
      <c r="BK14" s="330">
        <f>'Structural Information'!$T$23*'Structural Information'!$T$24*(4700*SQRT('Structural Information'!$AC$18))/(BI14*1000)</f>
        <v>433495.56258141535</v>
      </c>
      <c r="BM14" s="640"/>
      <c r="BN14" s="345" t="s">
        <v>419</v>
      </c>
      <c r="BO14" s="346">
        <f>'Structural Information'!$AC$8</f>
        <v>4.5</v>
      </c>
      <c r="BP14" s="60">
        <f>BQ14+BP13</f>
        <v>3.9444444444444438</v>
      </c>
      <c r="BQ14" s="60">
        <f>BR14+BQ13</f>
        <v>3.2777777777777772</v>
      </c>
      <c r="BR14" s="60">
        <f>BS14+BR13</f>
        <v>2.6111111111111107</v>
      </c>
      <c r="BS14" s="60">
        <f>BT14+BS13</f>
        <v>1.9444444444444442</v>
      </c>
      <c r="BT14" s="60">
        <f>BU14+BT13</f>
        <v>1.2777777777777777</v>
      </c>
      <c r="BU14" s="347">
        <f>BU13</f>
        <v>0.61111111111111116</v>
      </c>
      <c r="BW14" s="640">
        <v>3</v>
      </c>
      <c r="BX14" s="375" t="s">
        <v>283</v>
      </c>
      <c r="BY14" s="367">
        <f>(BP13*BP13)/$BK$6</f>
        <v>1.0252571947861007E-6</v>
      </c>
      <c r="BZ14" s="367">
        <f>(BQ13*BQ13)/$BK$10</f>
        <v>1.0252571947861007E-6</v>
      </c>
      <c r="CA14" s="367">
        <f>(BR13*BR13)/$BK$14</f>
        <v>1.0252571947861007E-6</v>
      </c>
      <c r="CB14" s="367">
        <f>(BS13*BS13)/$BK$18</f>
        <v>7.1198416304590332E-7</v>
      </c>
      <c r="CC14" s="367">
        <f>(BT13*BT13)/$BK$22</f>
        <v>7.1198416304590332E-7</v>
      </c>
      <c r="CD14" s="368">
        <f>(BU13*BU13)/$BK$26</f>
        <v>2.82038964587529E-7</v>
      </c>
      <c r="CF14" s="640"/>
      <c r="CG14" s="334">
        <v>2</v>
      </c>
      <c r="CH14" s="806"/>
      <c r="CI14" s="806"/>
      <c r="CJ14" s="810"/>
      <c r="CL14" s="376" t="s">
        <v>201</v>
      </c>
      <c r="CM14" s="377">
        <f>AQ4*COS($N4)+AQ5*COS($N5)+AQ6*COS($N6)</f>
        <v>216.48000000000002</v>
      </c>
      <c r="CN14" s="377">
        <f>AU4*COS($N4)+AU5*COS($N5)+AU6*COS($N6)</f>
        <v>270.60000000000002</v>
      </c>
      <c r="CO14" s="377">
        <f>AZ4*COS($N4)+AZ5*COS($N5)+AZ6*COS($N6)</f>
        <v>27.060000000000002</v>
      </c>
      <c r="CP14" s="378">
        <f>AZ4*COS($N4)+AZ5*COS($N5)+AZ6*COS($N6)</f>
        <v>27.060000000000002</v>
      </c>
      <c r="CQ14" s="376" t="s">
        <v>250</v>
      </c>
      <c r="CR14" s="72">
        <f>CH4</f>
        <v>32231.583564149721</v>
      </c>
      <c r="CS14" s="72">
        <f>CI4</f>
        <v>5875.4044347994641</v>
      </c>
      <c r="CT14" s="72">
        <f>CJ4</f>
        <v>-13386.468091479623</v>
      </c>
      <c r="CU14" s="379">
        <v>0</v>
      </c>
      <c r="CV14" s="48" t="s">
        <v>340</v>
      </c>
      <c r="CW14" s="63">
        <f>CM14/(CR14*'Structural Information'!$U$6)</f>
        <v>2.2387978504494433E-3</v>
      </c>
      <c r="CX14" s="63">
        <f>CW14+(((1/CS14)*(CN14-CM14))/'Structural Information'!$U$6)</f>
        <v>5.3092247802367428E-3</v>
      </c>
      <c r="CY14" s="63">
        <f>CX14+(((1/CT14)*(CO14-CN14))/'Structural Information'!$U$6)</f>
        <v>1.1373557765250945E-2</v>
      </c>
      <c r="CZ14" s="380">
        <f>0.08</f>
        <v>0.08</v>
      </c>
      <c r="DA14" s="26"/>
    </row>
    <row r="15" spans="2:105" ht="16.5" thickBot="1" x14ac:dyDescent="0.3">
      <c r="B15" s="817"/>
      <c r="C15" s="336">
        <v>3</v>
      </c>
      <c r="D15" s="336">
        <v>313</v>
      </c>
      <c r="E15" s="150">
        <f>'Structural Information'!$U$9</f>
        <v>3</v>
      </c>
      <c r="F15" s="150">
        <f>'Structural Information'!$AC$6</f>
        <v>4.5</v>
      </c>
      <c r="G15" s="150">
        <v>0.5</v>
      </c>
      <c r="H15" s="150">
        <v>0.25</v>
      </c>
      <c r="I15" s="150">
        <v>0.25</v>
      </c>
      <c r="J15" s="337">
        <f t="shared" si="0"/>
        <v>3.2552083333333332E-4</v>
      </c>
      <c r="K15" s="150">
        <f t="shared" si="13"/>
        <v>4.25</v>
      </c>
      <c r="L15" s="150">
        <f t="shared" si="1"/>
        <v>2.5</v>
      </c>
      <c r="M15" s="150">
        <f t="shared" si="2"/>
        <v>4.9307707308290052</v>
      </c>
      <c r="N15" s="338">
        <f t="shared" si="14"/>
        <v>0.53172406725880561</v>
      </c>
      <c r="P15" s="818" t="s">
        <v>184</v>
      </c>
      <c r="Q15" s="818"/>
      <c r="R15" s="818"/>
      <c r="S15" s="374" t="s">
        <v>176</v>
      </c>
      <c r="U15" s="794"/>
      <c r="V15" s="339">
        <v>3</v>
      </c>
      <c r="W15" s="336">
        <v>313</v>
      </c>
      <c r="X15" s="150">
        <f>1/((((COS(N15))^4)/'Structural Information'!$AH$17)+(((SIN(N15))^4)/'Structural Information'!$AH$18)+(((SIN(N15))^2)*((COS(N15))^2)*((1/'Structural Information'!$AH$19)-(2*'Structural Information'!$AL$19/'Structural Information'!$AH$18))))</f>
        <v>1375.8363758228218</v>
      </c>
      <c r="Y15" s="150">
        <f>((X15*('Structural Information'!$AL$17/1000)*SIN(2*N15))/(4*'Structural Information'!$AH$20*J15*L15))^(1/4)</f>
        <v>1.0803311717923612</v>
      </c>
      <c r="Z15" s="150">
        <f t="shared" si="3"/>
        <v>3.2409935153770837</v>
      </c>
      <c r="AA15" s="340">
        <f t="shared" si="4"/>
        <v>0.70699999999999996</v>
      </c>
      <c r="AB15" s="340">
        <f t="shared" si="5"/>
        <v>0.01</v>
      </c>
      <c r="AC15" s="150">
        <f t="shared" si="6"/>
        <v>1.1249207531710215</v>
      </c>
      <c r="AD15" s="150">
        <f>((0.6*'Structural Information'!$AJ$17)+(0.3*'Structural Information'!$AL$18))/(AC15/M15)</f>
        <v>1.446461305462462</v>
      </c>
      <c r="AE15" s="150">
        <f>(((1.2*SIN(N15)+0.45*COS(N15))*'Structural Information'!$AJ$18)+(0.3*'Structural Information'!$AL$18))/(AC15/M15)</f>
        <v>1.9214686847113289</v>
      </c>
      <c r="AF15" s="150">
        <f>(1.12*'Structural Information'!$AJ$19*COS(N15)*SIN(N15))/((AA15*(Z15^(-0.12)))+(AB15*(Z15^(0.88))))</f>
        <v>1.5398017536539861</v>
      </c>
      <c r="AG15" s="150">
        <f>(1.16*'Structural Information'!$AJ$19*TAN(N15))/((AA15)+(AB15*Z15))</f>
        <v>1.8641255353024468</v>
      </c>
      <c r="AH15" s="150">
        <f t="shared" si="7"/>
        <v>1.446461305462462</v>
      </c>
      <c r="AI15" s="150">
        <f>AH15*AC15*'Structural Information'!$AL$17</f>
        <v>130.17234729388574</v>
      </c>
      <c r="AJ15" s="150">
        <f t="shared" si="8"/>
        <v>104.1378778351086</v>
      </c>
      <c r="AK15" s="338">
        <f t="shared" si="9"/>
        <v>13.017234729388575</v>
      </c>
      <c r="AM15" s="801"/>
      <c r="AN15" s="61">
        <v>3</v>
      </c>
      <c r="AO15" s="61">
        <v>313</v>
      </c>
      <c r="AP15" s="328">
        <v>3</v>
      </c>
      <c r="AQ15" s="20">
        <f t="shared" si="10"/>
        <v>104.1378778351086</v>
      </c>
      <c r="AR15" s="63">
        <f t="shared" si="15"/>
        <v>8.0000000000000004E-4</v>
      </c>
      <c r="AS15" s="62">
        <f>AQ15/(AR15*(SQRT(($F$15^2)+($E$15^2))))</f>
        <v>24068.875529005698</v>
      </c>
      <c r="AT15" s="329">
        <f>AS15*((COS($N$15))^2)</f>
        <v>17881.503927718884</v>
      </c>
      <c r="AU15" s="20">
        <f t="shared" si="11"/>
        <v>130.17234729388574</v>
      </c>
      <c r="AV15" s="63">
        <f t="shared" si="16"/>
        <v>2.2000000000000001E-3</v>
      </c>
      <c r="AW15" s="62">
        <f>AU15/(AV15*(SQRT(($F$15^2)+($E$15^2))))</f>
        <v>10940.397967729861</v>
      </c>
      <c r="AX15" s="210">
        <f>(AU15-AQ15)/((AV15-AR15)*(SQRT(($F$15^2)+($E$15^2))))</f>
        <v>3438.410789857955</v>
      </c>
      <c r="AY15" s="329">
        <f>AX15*((COS($N$15))^2)</f>
        <v>2554.5005611026963</v>
      </c>
      <c r="AZ15" s="20">
        <f t="shared" si="12"/>
        <v>13.017234729388575</v>
      </c>
      <c r="BA15" s="63">
        <f t="shared" si="17"/>
        <v>8.8999999999999999E-3</v>
      </c>
      <c r="BB15" s="62">
        <f>BC15/((COS($N$15))^2)</f>
        <v>-6762.2475856014062</v>
      </c>
      <c r="BC15" s="194">
        <f>((AZ15*COS($N$15))-(AU15*COS($N$15)))/((BA15-AV15)*AP15)</f>
        <v>-5023.880597014926</v>
      </c>
      <c r="BE15" s="793"/>
      <c r="BF15" s="130">
        <v>4</v>
      </c>
      <c r="BG15" s="130">
        <v>7414</v>
      </c>
      <c r="BH15" s="130" t="s">
        <v>27</v>
      </c>
      <c r="BI15" s="311">
        <f>'Structural Information'!$U$8</f>
        <v>3</v>
      </c>
      <c r="BJ15" s="372">
        <f>('Structural Information'!$X$24)*(200)/$BI15</f>
        <v>53616.514621265807</v>
      </c>
      <c r="BK15" s="353">
        <f>'Structural Information'!$T$23*'Structural Information'!$T$24*(4700*SQRT('Structural Information'!$AC$18))/(BI15*1000)</f>
        <v>433495.56258141535</v>
      </c>
      <c r="BM15" s="640"/>
      <c r="BN15" s="293">
        <v>4</v>
      </c>
      <c r="BO15" s="354">
        <f>'Structural Information'!$AC$6</f>
        <v>4.5</v>
      </c>
      <c r="BP15" s="62">
        <f t="shared" ref="BP15:BU15" si="24">(BP$4/$BO15)</f>
        <v>0.66666666666666663</v>
      </c>
      <c r="BQ15" s="62">
        <f t="shared" si="24"/>
        <v>0.66666666666666663</v>
      </c>
      <c r="BR15" s="62">
        <f t="shared" si="24"/>
        <v>0.66666666666666663</v>
      </c>
      <c r="BS15" s="62">
        <f t="shared" si="24"/>
        <v>0.66666666666666663</v>
      </c>
      <c r="BT15" s="62">
        <f t="shared" si="24"/>
        <v>0.66666666666666663</v>
      </c>
      <c r="BU15" s="194">
        <f t="shared" si="24"/>
        <v>0.61111111111111116</v>
      </c>
      <c r="BW15" s="640"/>
      <c r="BX15" s="333" t="s">
        <v>279</v>
      </c>
      <c r="BY15" s="319">
        <f>1/($AT$6)</f>
        <v>5.5923707762066768E-5</v>
      </c>
      <c r="BZ15" s="319">
        <f>1/($AT$9)</f>
        <v>5.5923707762066768E-5</v>
      </c>
      <c r="CA15" s="319">
        <f>1/($AT$12)</f>
        <v>5.5923707762066768E-5</v>
      </c>
      <c r="CB15" s="319">
        <f>1/($AT$15)</f>
        <v>5.5923707762066768E-5</v>
      </c>
      <c r="CC15" s="319">
        <f>1/($AT$18)</f>
        <v>5.5923707762066768E-5</v>
      </c>
      <c r="CD15" s="320">
        <f>1/($AT$21)</f>
        <v>5.3957814241538037E-5</v>
      </c>
      <c r="CF15" s="722"/>
      <c r="CG15" s="334">
        <v>3</v>
      </c>
      <c r="CH15" s="806"/>
      <c r="CI15" s="806"/>
      <c r="CJ15" s="810"/>
      <c r="CL15" s="48" t="s">
        <v>202</v>
      </c>
      <c r="CM15" s="377">
        <f>AQ7*COS($N7)+AQ8*COS($N8)+AQ9*COS($N9)</f>
        <v>216.48000000000002</v>
      </c>
      <c r="CN15" s="377">
        <f>AU7*COS($N7)+AU8*COS($N8)+AU9*COS($N9)</f>
        <v>270.60000000000002</v>
      </c>
      <c r="CO15" s="377">
        <f>AZ7*COS($N7)+AZ8*COS($N8)+AZ9*COS($N9)</f>
        <v>27.060000000000002</v>
      </c>
      <c r="CP15" s="378">
        <f>AZ7*COS($N7)+AZ8*COS($N8)+AZ9*COS($N9)</f>
        <v>27.060000000000002</v>
      </c>
      <c r="CQ15" s="48" t="s">
        <v>251</v>
      </c>
      <c r="CR15" s="72">
        <f>CH7</f>
        <v>37512.847967601992</v>
      </c>
      <c r="CS15" s="72">
        <f>CI7</f>
        <v>6029.2013709953189</v>
      </c>
      <c r="CT15" s="72">
        <f>CJ7</f>
        <v>-12654.131550653634</v>
      </c>
      <c r="CU15" s="379">
        <v>0</v>
      </c>
      <c r="CV15" s="48" t="s">
        <v>339</v>
      </c>
      <c r="CW15" s="63">
        <f>CM15/(CR15*'Structural Information'!$U$7)</f>
        <v>1.92360761471166E-3</v>
      </c>
      <c r="CX15" s="63">
        <f>CW15+(((1/CS15)*(CN15-CM15))/'Structural Information'!$U$7)</f>
        <v>4.9157120228982953E-3</v>
      </c>
      <c r="CY15" s="63">
        <f>CX15+(((1/CT15)*(CO15-CN15))/'Structural Information'!$U$7)</f>
        <v>1.1331008060800379E-2</v>
      </c>
      <c r="CZ15" s="380">
        <f t="shared" ref="CZ15:CZ19" si="25">0.08</f>
        <v>0.08</v>
      </c>
      <c r="DA15" s="26"/>
    </row>
    <row r="16" spans="2:105" ht="16.5" thickBot="1" x14ac:dyDescent="0.3">
      <c r="B16" s="815">
        <v>2</v>
      </c>
      <c r="C16" s="303">
        <v>1</v>
      </c>
      <c r="D16" s="303">
        <v>112</v>
      </c>
      <c r="E16" s="304">
        <f>'Structural Information'!$U$10</f>
        <v>3</v>
      </c>
      <c r="F16" s="304">
        <f>'Structural Information'!$AC$8</f>
        <v>4.5</v>
      </c>
      <c r="G16" s="304">
        <v>0.5</v>
      </c>
      <c r="H16" s="304">
        <f>0.25</f>
        <v>0.25</v>
      </c>
      <c r="I16" s="304">
        <v>0.25</v>
      </c>
      <c r="J16" s="349">
        <f t="shared" si="0"/>
        <v>3.2552083333333332E-4</v>
      </c>
      <c r="K16" s="304">
        <f t="shared" si="13"/>
        <v>4.25</v>
      </c>
      <c r="L16" s="304">
        <f t="shared" si="1"/>
        <v>2.5</v>
      </c>
      <c r="M16" s="304">
        <f t="shared" si="2"/>
        <v>4.9307707308290052</v>
      </c>
      <c r="N16" s="306">
        <f t="shared" si="14"/>
        <v>0.53172406725880561</v>
      </c>
      <c r="P16" s="818" t="s">
        <v>186</v>
      </c>
      <c r="Q16" s="818"/>
      <c r="R16" s="818"/>
      <c r="S16" s="374" t="s">
        <v>177</v>
      </c>
      <c r="U16" s="795">
        <v>2</v>
      </c>
      <c r="V16" s="302">
        <v>1</v>
      </c>
      <c r="W16" s="303">
        <v>112</v>
      </c>
      <c r="X16" s="304">
        <f>1/((((COS(N16))^4)/'Structural Information'!$AH$17)+(((SIN(N16))^4)/'Structural Information'!$AH$18)+(((SIN(N16))^2)*((COS(N16))^2)*((1/'Structural Information'!$AH$19)-(2*'Structural Information'!$AL$19/'Structural Information'!$AH$18))))</f>
        <v>1375.8363758228218</v>
      </c>
      <c r="Y16" s="304">
        <f>((X16*('Structural Information'!$AL$17/1000)*SIN(2*N16))/(4*'Structural Information'!$AH$20*J16*L16))^(1/4)</f>
        <v>1.0803311717923612</v>
      </c>
      <c r="Z16" s="304">
        <f t="shared" si="3"/>
        <v>3.2409935153770837</v>
      </c>
      <c r="AA16" s="305">
        <f t="shared" si="4"/>
        <v>0.70699999999999996</v>
      </c>
      <c r="AB16" s="305">
        <f t="shared" si="5"/>
        <v>0.01</v>
      </c>
      <c r="AC16" s="304">
        <f t="shared" si="6"/>
        <v>1.1249207531710215</v>
      </c>
      <c r="AD16" s="304">
        <f>((0.6*'Structural Information'!$AJ$17)+(0.3*'Structural Information'!$AL$18))/(AC16/M16)</f>
        <v>1.446461305462462</v>
      </c>
      <c r="AE16" s="304">
        <f>(((1.2*SIN(N16)+0.45*COS(N16))*'Structural Information'!$AJ$18)+(0.3*'Structural Information'!$AL$18))/(AC16/M16)</f>
        <v>1.9214686847113289</v>
      </c>
      <c r="AF16" s="304">
        <f>(1.12*'Structural Information'!$AJ$19*COS(N16)*SIN(N16))/((AA16*(Z16^(-0.12)))+(AB16*(Z16^(0.88))))</f>
        <v>1.5398017536539861</v>
      </c>
      <c r="AG16" s="304">
        <f>(1.16*'Structural Information'!$AJ$19*TAN(N16))/((AA16)+(AB16*Z16))</f>
        <v>1.8641255353024468</v>
      </c>
      <c r="AH16" s="304">
        <f t="shared" si="7"/>
        <v>1.446461305462462</v>
      </c>
      <c r="AI16" s="304">
        <f>AH16*AC16*'Structural Information'!$AL$17</f>
        <v>130.17234729388574</v>
      </c>
      <c r="AJ16" s="304">
        <f t="shared" si="8"/>
        <v>104.1378778351086</v>
      </c>
      <c r="AK16" s="306">
        <f t="shared" si="9"/>
        <v>13.017234729388575</v>
      </c>
      <c r="AM16" s="800">
        <v>2</v>
      </c>
      <c r="AN16" s="102">
        <v>1</v>
      </c>
      <c r="AO16" s="102">
        <v>112</v>
      </c>
      <c r="AP16" s="307">
        <v>3</v>
      </c>
      <c r="AQ16" s="308">
        <f t="shared" si="10"/>
        <v>104.1378778351086</v>
      </c>
      <c r="AR16" s="271">
        <f t="shared" si="15"/>
        <v>8.0000000000000004E-4</v>
      </c>
      <c r="AS16" s="103">
        <f>AQ16/(AR16*(SQRT(($F$16^2)+($E$16^2))))</f>
        <v>24068.875529005698</v>
      </c>
      <c r="AT16" s="309">
        <f>AS16*((COS($N$16))^2)</f>
        <v>17881.503927718884</v>
      </c>
      <c r="AU16" s="308">
        <f t="shared" si="11"/>
        <v>130.17234729388574</v>
      </c>
      <c r="AV16" s="271">
        <f t="shared" si="16"/>
        <v>2.2000000000000001E-3</v>
      </c>
      <c r="AW16" s="103">
        <f>AU16/(AV16*(SQRT(($F$16^2)+($E$16^2))))</f>
        <v>10940.397967729861</v>
      </c>
      <c r="AX16" s="208">
        <f>(AU16-AQ16)/((AV16-AR16)*(SQRT(($F$16^2)+($E$16^2))))</f>
        <v>3438.410789857955</v>
      </c>
      <c r="AY16" s="309">
        <f>AX16*((COS($N$16))^2)</f>
        <v>2554.5005611026963</v>
      </c>
      <c r="AZ16" s="308">
        <f t="shared" si="12"/>
        <v>13.017234729388575</v>
      </c>
      <c r="BA16" s="271">
        <f t="shared" si="17"/>
        <v>8.8999999999999999E-3</v>
      </c>
      <c r="BB16" s="103">
        <f>BC16/((COS($N$16))^2)</f>
        <v>-6762.2475856014062</v>
      </c>
      <c r="BC16" s="310">
        <f>((AZ16*COS($N$16))-(AU16*COS($N$16)))/((BA16-AV16)*AP16)</f>
        <v>-5023.880597014926</v>
      </c>
      <c r="BE16" s="791">
        <v>3</v>
      </c>
      <c r="BF16" s="102">
        <v>1</v>
      </c>
      <c r="BG16" s="102">
        <v>7113</v>
      </c>
      <c r="BH16" s="102" t="s">
        <v>27</v>
      </c>
      <c r="BI16" s="357">
        <f>'Structural Information'!$U$9</f>
        <v>3</v>
      </c>
      <c r="BJ16" s="358">
        <f>('Structural Information'!$X$24)*(200)/$BI16</f>
        <v>53616.514621265807</v>
      </c>
      <c r="BK16" s="313">
        <f>'Structural Information'!$T$23*'Structural Information'!$T$24*(4700*SQRT('Structural Information'!$AC$18))/(BI16*1000)</f>
        <v>433495.56258141535</v>
      </c>
      <c r="BM16" s="641"/>
      <c r="BN16" s="381" t="s">
        <v>419</v>
      </c>
      <c r="BO16" s="382">
        <f>'Structural Information'!$AC$8</f>
        <v>4.5</v>
      </c>
      <c r="BP16" s="383">
        <f>BQ16+BP15</f>
        <v>3.9444444444444438</v>
      </c>
      <c r="BQ16" s="383">
        <f>BR16+BQ15</f>
        <v>3.2777777777777772</v>
      </c>
      <c r="BR16" s="383">
        <f>BS16+BR15</f>
        <v>2.6111111111111107</v>
      </c>
      <c r="BS16" s="383">
        <f>BT16+BS15</f>
        <v>1.9444444444444442</v>
      </c>
      <c r="BT16" s="383">
        <f>BU16+BT15</f>
        <v>1.2777777777777777</v>
      </c>
      <c r="BU16" s="384">
        <f>BU15</f>
        <v>0.61111111111111116</v>
      </c>
      <c r="BW16" s="640"/>
      <c r="BX16" s="348" t="s">
        <v>279</v>
      </c>
      <c r="BY16" s="319">
        <f>1/($AY$6)</f>
        <v>3.9146595433446759E-4</v>
      </c>
      <c r="BZ16" s="319">
        <f>1/($AY$9)</f>
        <v>3.9146595433446759E-4</v>
      </c>
      <c r="CA16" s="319">
        <f>1/($AY$12)</f>
        <v>3.9146595433446759E-4</v>
      </c>
      <c r="CB16" s="319">
        <f>1/($AY$15)</f>
        <v>3.9146595433446759E-4</v>
      </c>
      <c r="CC16" s="319">
        <f>1/($AY$18)</f>
        <v>3.9146595433446759E-4</v>
      </c>
      <c r="CD16" s="320">
        <f>1/($AY$21)</f>
        <v>3.7770469969076651E-4</v>
      </c>
      <c r="CF16" s="640">
        <v>2</v>
      </c>
      <c r="CG16" s="321">
        <v>1</v>
      </c>
      <c r="CH16" s="808">
        <f>(1/(CC5+CC4+CD8+CD4)+1/(CC10+CC9+CD13+CD9)+1/(CC15+CC14+CD18+CD14))</f>
        <v>41405.300324150929</v>
      </c>
      <c r="CI16" s="808">
        <f>(1/(CC6+CC4+CD8+CD4)+1/(CC11+CC9+CD13+CD9)+1/(CC16+CC14+CD18+CD14))</f>
        <v>6080.4114077336671</v>
      </c>
      <c r="CJ16" s="832">
        <f>(1/(CC7+CC4+CD8+CD4)+1/(CC12+CC9+CD13+CD9)+1/(CC17+CC14+CD18+CD14))</f>
        <v>-12170.255888876887</v>
      </c>
      <c r="CL16" s="48" t="s">
        <v>203</v>
      </c>
      <c r="CM16" s="377">
        <f>AQ10*COS($N10)+AQ11*COS($N11)+AQ12*COS($N12)</f>
        <v>216.48000000000002</v>
      </c>
      <c r="CN16" s="377">
        <f>AU10*COS($N10)+AU11*COS($N11)+AU12*COS($N12)</f>
        <v>270.60000000000002</v>
      </c>
      <c r="CO16" s="377">
        <f>AZ10*COS($N10)+AZ11*COS($N11)+AZ12*COS($N12)</f>
        <v>27.060000000000002</v>
      </c>
      <c r="CP16" s="378">
        <f>AZ10*COS($N10)+AZ11*COS($N11)+AZ12*COS($N12)</f>
        <v>27.060000000000002</v>
      </c>
      <c r="CQ16" s="48" t="s">
        <v>252</v>
      </c>
      <c r="CR16" s="72">
        <f>CH10</f>
        <v>38958.01409226143</v>
      </c>
      <c r="CS16" s="72">
        <f>CI10</f>
        <v>6065.9173380903885</v>
      </c>
      <c r="CT16" s="72">
        <f>CJ10</f>
        <v>-12493.696972244517</v>
      </c>
      <c r="CU16" s="379">
        <v>0</v>
      </c>
      <c r="CV16" s="48" t="s">
        <v>338</v>
      </c>
      <c r="CW16" s="63">
        <f>CM16/(CR16*'Structural Information'!$U$8)</f>
        <v>1.852250472241956E-3</v>
      </c>
      <c r="CX16" s="63">
        <f>CW16+(((1/CS16)*(CN16-CM16))/'Structural Information'!$U$8)</f>
        <v>4.8262441807812107E-3</v>
      </c>
      <c r="CY16" s="63">
        <f>CX16+(((1/CT16)*(CO16-CN16))/'Structural Information'!$U$8)</f>
        <v>1.1323920583558239E-2</v>
      </c>
      <c r="CZ16" s="380">
        <f t="shared" si="25"/>
        <v>0.08</v>
      </c>
      <c r="DA16" s="26"/>
    </row>
    <row r="17" spans="2:105" x14ac:dyDescent="0.25">
      <c r="B17" s="816"/>
      <c r="C17" s="69">
        <v>2</v>
      </c>
      <c r="D17" s="69">
        <v>212</v>
      </c>
      <c r="E17" s="70">
        <f>'Structural Information'!$U$10</f>
        <v>3</v>
      </c>
      <c r="F17" s="70">
        <f>'Structural Information'!$AC$7</f>
        <v>2</v>
      </c>
      <c r="G17" s="70">
        <v>0.5</v>
      </c>
      <c r="H17" s="70">
        <f t="shared" si="23"/>
        <v>0.3</v>
      </c>
      <c r="I17" s="70">
        <v>0.3</v>
      </c>
      <c r="J17" s="325">
        <f t="shared" si="0"/>
        <v>6.7499999999999993E-4</v>
      </c>
      <c r="K17" s="70">
        <f t="shared" si="13"/>
        <v>1.7</v>
      </c>
      <c r="L17" s="70">
        <f t="shared" si="1"/>
        <v>2.5</v>
      </c>
      <c r="M17" s="70">
        <f t="shared" si="2"/>
        <v>3.0232432915661951</v>
      </c>
      <c r="N17" s="324">
        <f t="shared" si="14"/>
        <v>0.97361966870221905</v>
      </c>
      <c r="U17" s="792"/>
      <c r="V17" s="326">
        <v>2</v>
      </c>
      <c r="W17" s="69">
        <v>212</v>
      </c>
      <c r="X17" s="70">
        <f>1/((((COS(N17))^4)/'Structural Information'!$AH$17)+(((SIN(N17))^4)/'Structural Information'!$AH$18)+(((SIN(N17))^2)*((COS(N17))^2)*((1/'Structural Information'!$AH$19)-(2*'Structural Information'!$AL$19/'Structural Information'!$AH$18))))</f>
        <v>1988.4509990748261</v>
      </c>
      <c r="Y17" s="70">
        <f>((X17*('Structural Information'!$AL$17/1000)*SIN(2*N17))/(4*'Structural Information'!$AH$20*J17*L17))^(1/4)</f>
        <v>1.002532686662994</v>
      </c>
      <c r="Z17" s="70">
        <f t="shared" si="3"/>
        <v>3.007598059988982</v>
      </c>
      <c r="AA17" s="327">
        <f t="shared" si="4"/>
        <v>1.3</v>
      </c>
      <c r="AB17" s="327">
        <f t="shared" si="5"/>
        <v>-0.17799999999999999</v>
      </c>
      <c r="AC17" s="70">
        <f t="shared" si="6"/>
        <v>0.76862516722585128</v>
      </c>
      <c r="AD17" s="70">
        <f>((0.6*'Structural Information'!$AJ$17)+(0.3*'Structural Information'!$AL$18))/(AC17/M17)</f>
        <v>1.2979932595983952</v>
      </c>
      <c r="AE17" s="70">
        <f>(((1.2*SIN(N17)+0.45*COS(N17))*'Structural Information'!$AJ$18)+(0.3*'Structural Information'!$AL$18))/(AC17/M17)</f>
        <v>2.155276811946008</v>
      </c>
      <c r="AF17" s="70">
        <f>(1.12*'Structural Information'!$AJ$19*COS(N17)*SIN(N17))/((AA17*(Z17^(-0.12)))+(AB17*(Z17^(0.88))))</f>
        <v>1.5701357544112415</v>
      </c>
      <c r="AG17" s="70">
        <f>(1.16*'Structural Information'!$AJ$19*TAN(N17))/((AA17)+(AB17*Z17))</f>
        <v>4.5064976328280224</v>
      </c>
      <c r="AH17" s="70">
        <f t="shared" si="7"/>
        <v>1.2979932595983952</v>
      </c>
      <c r="AI17" s="70">
        <f>AH17*AC17*'Structural Information'!$AL$17</f>
        <v>79.813622897347543</v>
      </c>
      <c r="AJ17" s="70">
        <f t="shared" si="8"/>
        <v>63.850898317878034</v>
      </c>
      <c r="AK17" s="324">
        <f t="shared" si="9"/>
        <v>7.9813622897347543</v>
      </c>
      <c r="AM17" s="801"/>
      <c r="AN17" s="61">
        <v>2</v>
      </c>
      <c r="AO17" s="61">
        <v>212</v>
      </c>
      <c r="AP17" s="328">
        <v>3</v>
      </c>
      <c r="AQ17" s="20">
        <f t="shared" si="10"/>
        <v>63.850898317878034</v>
      </c>
      <c r="AR17" s="63">
        <f t="shared" si="15"/>
        <v>8.0000000000000004E-4</v>
      </c>
      <c r="AS17" s="62">
        <f>AQ17/(AR17*(SQRT(($F$17^2)+($E$17^2))))</f>
        <v>22136.316141302559</v>
      </c>
      <c r="AT17" s="329">
        <f>AS17*((COS($N$17))^2)</f>
        <v>6999.3384735628451</v>
      </c>
      <c r="AU17" s="20">
        <f t="shared" si="11"/>
        <v>79.813622897347543</v>
      </c>
      <c r="AV17" s="63">
        <f t="shared" si="16"/>
        <v>2.2000000000000001E-3</v>
      </c>
      <c r="AW17" s="62">
        <f>AU17/(AV17*(SQRT(($F$17^2)+($E$17^2))))</f>
        <v>10061.961882410254</v>
      </c>
      <c r="AX17" s="210">
        <f>(AU17-AQ17)/((AV17-AR17)*(SQRT(($F$17^2)+($E$17^2))))</f>
        <v>3162.3308773289368</v>
      </c>
      <c r="AY17" s="329">
        <f>AX17*((COS($N$17))^2)</f>
        <v>999.90549622326353</v>
      </c>
      <c r="AZ17" s="20">
        <f t="shared" si="12"/>
        <v>7.9813622897347543</v>
      </c>
      <c r="BA17" s="63">
        <f t="shared" si="17"/>
        <v>8.8999999999999999E-3</v>
      </c>
      <c r="BB17" s="62">
        <f>BC17/((COS($N$17))^2)</f>
        <v>-6355.4697102721684</v>
      </c>
      <c r="BC17" s="194">
        <f>((AZ17*COS($N$17))-(AU17*COS($N$17)))/((BA17-AV17)*AP17)</f>
        <v>-2009.5522388059703</v>
      </c>
      <c r="BE17" s="792"/>
      <c r="BF17" s="61">
        <v>2</v>
      </c>
      <c r="BG17" s="61">
        <v>7213</v>
      </c>
      <c r="BH17" s="61" t="s">
        <v>28</v>
      </c>
      <c r="BI17" s="311">
        <f>'Structural Information'!$U$9</f>
        <v>3</v>
      </c>
      <c r="BJ17" s="73">
        <f>('Structural Information'!$X$29)*(200)/$BI17</f>
        <v>53616.514621265807</v>
      </c>
      <c r="BK17" s="330">
        <f>'Structural Information'!$T$28*'Structural Information'!$T$29*(4700*SQRT('Structural Information'!$AC$18))/(BI17*1000)</f>
        <v>624233.61011723801</v>
      </c>
      <c r="BW17" s="640"/>
      <c r="BX17" s="355" t="s">
        <v>279</v>
      </c>
      <c r="BY17" s="319">
        <f>1/($BC$6)</f>
        <v>-1.990493166963755E-4</v>
      </c>
      <c r="BZ17" s="319">
        <f>1/($BC$9)</f>
        <v>-1.990493166963755E-4</v>
      </c>
      <c r="CA17" s="319">
        <f>1/($BC$12)</f>
        <v>-1.990493166963755E-4</v>
      </c>
      <c r="CB17" s="319">
        <f>1/($BC$15)</f>
        <v>-1.990493166963755E-4</v>
      </c>
      <c r="CC17" s="319">
        <f>1/($BC$18)</f>
        <v>-1.990493166963755E-4</v>
      </c>
      <c r="CD17" s="320">
        <f>1/($BC$21)</f>
        <v>-1.8463403880070539E-4</v>
      </c>
      <c r="CF17" s="640"/>
      <c r="CG17" s="334">
        <v>2</v>
      </c>
      <c r="CH17" s="806"/>
      <c r="CI17" s="806"/>
      <c r="CJ17" s="810"/>
      <c r="CL17" s="48" t="s">
        <v>204</v>
      </c>
      <c r="CM17" s="377">
        <f>AQ13*COS($N13)+AQ14*COS($N14)+AQ15*COS($N15)</f>
        <v>215.42400000000004</v>
      </c>
      <c r="CN17" s="377">
        <f>AU13*COS($N13)+AU14*COS($N14)+AU15*COS($N15)</f>
        <v>269.28000000000003</v>
      </c>
      <c r="CO17" s="377">
        <f>AZ13*COS($N13)+AZ14*COS($N14)+AZ15*COS($N15)</f>
        <v>26.928000000000004</v>
      </c>
      <c r="CP17" s="378">
        <f>AZ13*COS($N13)+AZ14*COS($N14)+AZ15*COS($N15)</f>
        <v>26.928000000000004</v>
      </c>
      <c r="CQ17" s="48" t="s">
        <v>253</v>
      </c>
      <c r="CR17" s="72">
        <f>CH13</f>
        <v>40081.108862554094</v>
      </c>
      <c r="CS17" s="72">
        <f>CI13</f>
        <v>6050.9685085188994</v>
      </c>
      <c r="CT17" s="72">
        <f>CJ13</f>
        <v>-12290.585991056018</v>
      </c>
      <c r="CU17" s="379">
        <v>0</v>
      </c>
      <c r="CV17" s="48" t="s">
        <v>337</v>
      </c>
      <c r="CW17" s="63">
        <f>CM17/(CR17*'Structural Information'!$U$9)</f>
        <v>1.7915672005543457E-3</v>
      </c>
      <c r="CX17" s="63">
        <f>CW17+(((1/CS17)*(CN17-CM17))/'Structural Information'!$U$9)</f>
        <v>4.7583649908132346E-3</v>
      </c>
      <c r="CY17" s="63">
        <f>CX17+(((1/CT17)*(CO17-CN17))/'Structural Information'!$U$9)</f>
        <v>1.1331200497500006E-2</v>
      </c>
      <c r="CZ17" s="380">
        <f t="shared" si="25"/>
        <v>0.08</v>
      </c>
      <c r="DA17" s="26"/>
    </row>
    <row r="18" spans="2:105" ht="16.5" thickBot="1" x14ac:dyDescent="0.3">
      <c r="B18" s="817"/>
      <c r="C18" s="336">
        <v>3</v>
      </c>
      <c r="D18" s="336">
        <v>312</v>
      </c>
      <c r="E18" s="150">
        <f>'Structural Information'!$U$10</f>
        <v>3</v>
      </c>
      <c r="F18" s="150">
        <f>'Structural Information'!$AC$6</f>
        <v>4.5</v>
      </c>
      <c r="G18" s="150">
        <v>0.5</v>
      </c>
      <c r="H18" s="150">
        <v>0.25</v>
      </c>
      <c r="I18" s="150">
        <v>0.25</v>
      </c>
      <c r="J18" s="337">
        <f t="shared" si="0"/>
        <v>3.2552083333333332E-4</v>
      </c>
      <c r="K18" s="150">
        <f t="shared" si="13"/>
        <v>4.25</v>
      </c>
      <c r="L18" s="150">
        <f t="shared" si="1"/>
        <v>2.5</v>
      </c>
      <c r="M18" s="150">
        <f t="shared" si="2"/>
        <v>4.9307707308290052</v>
      </c>
      <c r="N18" s="338">
        <f t="shared" si="14"/>
        <v>0.53172406725880561</v>
      </c>
      <c r="U18" s="794"/>
      <c r="V18" s="339">
        <v>3</v>
      </c>
      <c r="W18" s="336">
        <v>312</v>
      </c>
      <c r="X18" s="150">
        <f>1/((((COS(N18))^4)/'Structural Information'!$AH$17)+(((SIN(N18))^4)/'Structural Information'!$AH$18)+(((SIN(N18))^2)*((COS(N18))^2)*((1/'Structural Information'!$AH$19)-(2*'Structural Information'!$AL$19/'Structural Information'!$AH$18))))</f>
        <v>1375.8363758228218</v>
      </c>
      <c r="Y18" s="150">
        <f>((X18*('Structural Information'!$AL$17/1000)*SIN(2*N18))/(4*'Structural Information'!$AH$20*J18*L18))^(1/4)</f>
        <v>1.0803311717923612</v>
      </c>
      <c r="Z18" s="150">
        <f t="shared" si="3"/>
        <v>3.2409935153770837</v>
      </c>
      <c r="AA18" s="340">
        <f t="shared" si="4"/>
        <v>0.70699999999999996</v>
      </c>
      <c r="AB18" s="340">
        <f t="shared" si="5"/>
        <v>0.01</v>
      </c>
      <c r="AC18" s="150">
        <f t="shared" si="6"/>
        <v>1.1249207531710215</v>
      </c>
      <c r="AD18" s="150">
        <f>((0.6*'Structural Information'!$AJ$17)+(0.3*'Structural Information'!$AL$18))/(AC18/M18)</f>
        <v>1.446461305462462</v>
      </c>
      <c r="AE18" s="150">
        <f>(((1.2*SIN(N18)+0.45*COS(N18))*'Structural Information'!$AJ$18)+(0.3*'Structural Information'!$AL$18))/(AC18/M18)</f>
        <v>1.9214686847113289</v>
      </c>
      <c r="AF18" s="150">
        <f>(1.12*'Structural Information'!$AJ$19*COS(N18)*SIN(N18))/((AA18*(Z18^(-0.12)))+(AB18*(Z18^(0.88))))</f>
        <v>1.5398017536539861</v>
      </c>
      <c r="AG18" s="150">
        <f>(1.16*'Structural Information'!$AJ$19*TAN(N18))/((AA18)+(AB18*Z18))</f>
        <v>1.8641255353024468</v>
      </c>
      <c r="AH18" s="150">
        <f t="shared" si="7"/>
        <v>1.446461305462462</v>
      </c>
      <c r="AI18" s="150">
        <f>AH18*AC18*'Structural Information'!$AL$17</f>
        <v>130.17234729388574</v>
      </c>
      <c r="AJ18" s="150">
        <f t="shared" si="8"/>
        <v>104.1378778351086</v>
      </c>
      <c r="AK18" s="338">
        <f t="shared" si="9"/>
        <v>13.017234729388575</v>
      </c>
      <c r="AM18" s="802"/>
      <c r="AN18" s="130">
        <v>3</v>
      </c>
      <c r="AO18" s="130">
        <v>312</v>
      </c>
      <c r="AP18" s="341">
        <v>3</v>
      </c>
      <c r="AQ18" s="342">
        <f t="shared" si="10"/>
        <v>104.1378778351086</v>
      </c>
      <c r="AR18" s="266">
        <f t="shared" si="15"/>
        <v>8.0000000000000004E-4</v>
      </c>
      <c r="AS18" s="131">
        <f>AQ18/(AR18*(SQRT(($F$18^2)+($E$18^2))))</f>
        <v>24068.875529005698</v>
      </c>
      <c r="AT18" s="343">
        <f>AS18*((COS($N$18))^2)</f>
        <v>17881.503927718884</v>
      </c>
      <c r="AU18" s="342">
        <f t="shared" si="11"/>
        <v>130.17234729388574</v>
      </c>
      <c r="AV18" s="266">
        <f t="shared" si="16"/>
        <v>2.2000000000000001E-3</v>
      </c>
      <c r="AW18" s="131">
        <f>AU18/(AV18*(SQRT(($F$18^2)+($E$18^2))))</f>
        <v>10940.397967729861</v>
      </c>
      <c r="AX18" s="206">
        <f>(AU18-AQ18)/((AV18-AR18)*(SQRT(($F$18^2)+($E$18^2))))</f>
        <v>3438.410789857955</v>
      </c>
      <c r="AY18" s="343">
        <f>AX18*((COS($N$18))^2)</f>
        <v>2554.5005611026963</v>
      </c>
      <c r="AZ18" s="342">
        <f t="shared" si="12"/>
        <v>13.017234729388575</v>
      </c>
      <c r="BA18" s="266">
        <f t="shared" si="17"/>
        <v>8.8999999999999999E-3</v>
      </c>
      <c r="BB18" s="131">
        <f>BC18/((COS($N$18))^2)</f>
        <v>-6762.2475856014062</v>
      </c>
      <c r="BC18" s="344">
        <f>((AZ18*COS($N$18))-(AU18*COS($N$18)))/((BA18-AV18)*AP18)</f>
        <v>-5023.880597014926</v>
      </c>
      <c r="BE18" s="792"/>
      <c r="BF18" s="61">
        <v>3</v>
      </c>
      <c r="BG18" s="61">
        <v>7313</v>
      </c>
      <c r="BH18" s="61" t="s">
        <v>28</v>
      </c>
      <c r="BI18" s="311">
        <f>'Structural Information'!$U$9</f>
        <v>3</v>
      </c>
      <c r="BJ18" s="73">
        <f>('Structural Information'!$X$29)*(200)/$BI18</f>
        <v>53616.514621265807</v>
      </c>
      <c r="BK18" s="330">
        <f>'Structural Information'!$T$28*'Structural Information'!$T$29*(4700*SQRT('Structural Information'!$AC$18))/(BI18*1000)</f>
        <v>624233.61011723801</v>
      </c>
      <c r="BW18" s="641"/>
      <c r="BX18" s="385" t="s">
        <v>276</v>
      </c>
      <c r="BY18" s="386">
        <f>(BP15*BP15)/$BK$7</f>
        <v>1.0252571947861007E-6</v>
      </c>
      <c r="BZ18" s="386">
        <f>(BQ15*BQ15)/$BK$11</f>
        <v>1.0252571947861007E-6</v>
      </c>
      <c r="CA18" s="386">
        <f>(BR15*BR15)/$BK$15</f>
        <v>1.0252571947861007E-6</v>
      </c>
      <c r="CB18" s="386">
        <f>(BS15*BS15)/$BK$19</f>
        <v>1.0252571947861007E-6</v>
      </c>
      <c r="CC18" s="386">
        <f>(BT15*BT15)/$BK$23</f>
        <v>1.0252571947861007E-6</v>
      </c>
      <c r="CD18" s="387">
        <f>(BU15*BU15)/$BK$27</f>
        <v>5.4840909780908416E-7</v>
      </c>
      <c r="CF18" s="640"/>
      <c r="CG18" s="300">
        <v>3</v>
      </c>
      <c r="CH18" s="809"/>
      <c r="CI18" s="809"/>
      <c r="CJ18" s="833"/>
      <c r="CL18" s="48" t="s">
        <v>205</v>
      </c>
      <c r="CM18" s="377">
        <f>AQ16*COS($N16)+AQ17*COS($N17)+AQ18*COS($N18)</f>
        <v>215.42400000000004</v>
      </c>
      <c r="CN18" s="377">
        <f>AU16*COS($N16)+AU17*COS($N17)+AU18*COS($N18)</f>
        <v>269.28000000000003</v>
      </c>
      <c r="CO18" s="377">
        <f>AZ16*COS($N16)+AZ17*COS($N17)+AZ18*COS($N18)</f>
        <v>26.928000000000004</v>
      </c>
      <c r="CP18" s="378">
        <f>AZ16*COS($N16)+AZ17*COS($N17)+AZ18*COS($N18)</f>
        <v>26.928000000000004</v>
      </c>
      <c r="CQ18" s="48" t="s">
        <v>254</v>
      </c>
      <c r="CR18" s="72">
        <f>CH16</f>
        <v>41405.300324150929</v>
      </c>
      <c r="CS18" s="72">
        <f>CI16</f>
        <v>6080.4114077336671</v>
      </c>
      <c r="CT18" s="72">
        <f>CJ16</f>
        <v>-12170.255888876887</v>
      </c>
      <c r="CU18" s="379">
        <v>0</v>
      </c>
      <c r="CV18" s="48" t="s">
        <v>336</v>
      </c>
      <c r="CW18" s="63">
        <f>CM18/(CR18*'Structural Information'!$U$10)</f>
        <v>1.7342707198796904E-3</v>
      </c>
      <c r="CX18" s="63">
        <f>CW18+(((1/CS18)*(CN18-CM18))/'Structural Information'!$U$10)</f>
        <v>4.6867025203277445E-3</v>
      </c>
      <c r="CY18" s="63">
        <f>CX18+(((1/CT18)*(CO18-CN18))/'Structural Information'!$U$10)</f>
        <v>1.1324525154265398E-2</v>
      </c>
      <c r="CZ18" s="380">
        <f t="shared" si="25"/>
        <v>0.08</v>
      </c>
      <c r="DA18" s="26"/>
    </row>
    <row r="19" spans="2:105" ht="16.5" thickBot="1" x14ac:dyDescent="0.3">
      <c r="B19" s="815">
        <v>1</v>
      </c>
      <c r="C19" s="303">
        <v>1</v>
      </c>
      <c r="D19" s="303">
        <v>111</v>
      </c>
      <c r="E19" s="304">
        <f>'Structural Information'!$U$11</f>
        <v>2.75</v>
      </c>
      <c r="F19" s="304">
        <f>'Structural Information'!$AC$8</f>
        <v>4.5</v>
      </c>
      <c r="G19" s="304">
        <v>0.5</v>
      </c>
      <c r="H19" s="304">
        <v>0.3</v>
      </c>
      <c r="I19" s="304">
        <v>0.3</v>
      </c>
      <c r="J19" s="349">
        <f t="shared" si="0"/>
        <v>6.7499999999999993E-4</v>
      </c>
      <c r="K19" s="304">
        <f t="shared" si="13"/>
        <v>4.2</v>
      </c>
      <c r="L19" s="304">
        <f t="shared" si="1"/>
        <v>2.25</v>
      </c>
      <c r="M19" s="304">
        <f t="shared" si="2"/>
        <v>4.7647140522805778</v>
      </c>
      <c r="N19" s="306">
        <f t="shared" si="14"/>
        <v>0.49180917598869855</v>
      </c>
      <c r="U19" s="795">
        <v>1</v>
      </c>
      <c r="V19" s="302">
        <v>1</v>
      </c>
      <c r="W19" s="303">
        <v>111</v>
      </c>
      <c r="X19" s="304">
        <f>1/((((COS(N19))^4)/'Structural Information'!$AH$17)+(((SIN(N19))^4)/'Structural Information'!$AH$18)+(((SIN(N19))^2)*((COS(N19))^2)*((1/'Structural Information'!$AH$19)-(2*'Structural Information'!$AL$19/'Structural Information'!$AH$18))))</f>
        <v>1319.4785945384108</v>
      </c>
      <c r="Y19" s="304">
        <f>((X19*('Structural Information'!$AL$17/1000)*SIN(2*N19))/(4*'Structural Information'!$AH$20*J19*L19))^(1/4)</f>
        <v>0.90362580654119251</v>
      </c>
      <c r="Z19" s="304">
        <f t="shared" si="3"/>
        <v>2.4849709679882794</v>
      </c>
      <c r="AA19" s="305">
        <f t="shared" si="4"/>
        <v>1.3</v>
      </c>
      <c r="AB19" s="305">
        <f t="shared" si="5"/>
        <v>-0.17799999999999999</v>
      </c>
      <c r="AC19" s="304">
        <f t="shared" si="6"/>
        <v>1.644516968796413</v>
      </c>
      <c r="AD19" s="304">
        <f>((0.6*'Structural Information'!$AJ$17)+(0.3*'Structural Information'!$AL$18))/(AC19/M19)</f>
        <v>0.95612004441849241</v>
      </c>
      <c r="AE19" s="304">
        <f>(((1.2*SIN(N19)+0.45*COS(N19))*'Structural Information'!$AJ$18)+(0.3*'Structural Information'!$AL$18))/(AC19/M19)</f>
        <v>1.2280809735141271</v>
      </c>
      <c r="AF19" s="304">
        <f>(1.12*'Structural Information'!$AJ$19*COS(N19)*SIN(N19))/((AA19*(Z19^(-0.12)))+(AB19*(Z19^(0.88))))</f>
        <v>1.2247381284352927</v>
      </c>
      <c r="AG19" s="304">
        <f>(1.16*'Structural Information'!$AJ$19*TAN(N19))/((AA19)+(AB19*Z19))</f>
        <v>1.4635910675305832</v>
      </c>
      <c r="AH19" s="304">
        <f t="shared" si="7"/>
        <v>0.95612004441849241</v>
      </c>
      <c r="AI19" s="304">
        <f>AH19*AC19*'Structural Information'!$AL$17</f>
        <v>125.78845098020727</v>
      </c>
      <c r="AJ19" s="304">
        <f t="shared" si="8"/>
        <v>100.63076078416583</v>
      </c>
      <c r="AK19" s="306">
        <f t="shared" si="9"/>
        <v>12.578845098020729</v>
      </c>
      <c r="AL19" s="55"/>
      <c r="AM19" s="801">
        <v>1</v>
      </c>
      <c r="AN19" s="61">
        <v>1</v>
      </c>
      <c r="AO19" s="61">
        <v>111</v>
      </c>
      <c r="AP19" s="328">
        <v>2.75</v>
      </c>
      <c r="AQ19" s="20">
        <f t="shared" si="10"/>
        <v>100.63076078416583</v>
      </c>
      <c r="AR19" s="63">
        <f t="shared" si="15"/>
        <v>8.0000000000000004E-4</v>
      </c>
      <c r="AS19" s="62">
        <f>AQ19/(AR19*(SQRT(($F$19^2)+($E$19^2))))</f>
        <v>23851.777801029071</v>
      </c>
      <c r="AT19" s="329">
        <f>AS19*((COS($N$19))^2)</f>
        <v>18532.996824585523</v>
      </c>
      <c r="AU19" s="20">
        <f t="shared" si="11"/>
        <v>125.78845098020727</v>
      </c>
      <c r="AV19" s="63">
        <f t="shared" si="16"/>
        <v>2.2000000000000001E-3</v>
      </c>
      <c r="AW19" s="62">
        <f>AU19/(AV19*(SQRT(($F$19^2)+($E$19^2))))</f>
        <v>10841.71718228594</v>
      </c>
      <c r="AX19" s="210">
        <f>(AU19-AQ19)/((AV19-AR19)*(SQRT(($F$19^2)+($E$19^2))))</f>
        <v>3407.3968287184366</v>
      </c>
      <c r="AY19" s="329">
        <f>AX19*((COS($N$19))^2)</f>
        <v>2647.5709749407874</v>
      </c>
      <c r="AZ19" s="20">
        <f t="shared" si="12"/>
        <v>12.578845098020729</v>
      </c>
      <c r="BA19" s="63">
        <f t="shared" si="17"/>
        <v>8.8999999999999999E-3</v>
      </c>
      <c r="BB19" s="62">
        <f>BC19/((COS($N$19))^2)</f>
        <v>-6970.4904051172725</v>
      </c>
      <c r="BC19" s="194">
        <f>((AZ19*COS($N$19))-(AU19*COS($N$19)))/((BA19-AV19)*AP19)</f>
        <v>-5416.1194029850767</v>
      </c>
      <c r="BE19" s="793"/>
      <c r="BF19" s="130">
        <v>4</v>
      </c>
      <c r="BG19" s="130">
        <v>7413</v>
      </c>
      <c r="BH19" s="130" t="s">
        <v>27</v>
      </c>
      <c r="BI19" s="86">
        <f>'Structural Information'!$U$9</f>
        <v>3</v>
      </c>
      <c r="BJ19" s="372">
        <f>('Structural Information'!$X$24)*(200)/$BI19</f>
        <v>53616.514621265807</v>
      </c>
      <c r="BK19" s="353">
        <f>'Structural Information'!$T$23*'Structural Information'!$T$24*(4700*SQRT('Structural Information'!$AC$18))/(BI19*1000)</f>
        <v>433495.56258141535</v>
      </c>
      <c r="CF19" s="724">
        <v>1</v>
      </c>
      <c r="CG19" s="334">
        <v>1</v>
      </c>
      <c r="CH19" s="806">
        <f>1/(CD5+CD4)+1/(CD10+CD9)+1/(CD15+CD14)</f>
        <v>43184.044857716923</v>
      </c>
      <c r="CI19" s="806">
        <f>1/(CD6+CD4)+1/(CD11+CD9)+1/(CD16+CD14)</f>
        <v>6210.9602255137197</v>
      </c>
      <c r="CJ19" s="810">
        <f>1/(CD7+CD4)+1/(CD12+CD9)+1/(CD17+CD14)</f>
        <v>-12796.34557369144</v>
      </c>
      <c r="CL19" s="53" t="s">
        <v>206</v>
      </c>
      <c r="CM19" s="75">
        <f>AQ19*COS($N19)+AQ20*COS($N20)+AQ21*COS($N21)</f>
        <v>209.08800000000008</v>
      </c>
      <c r="CN19" s="75">
        <f>AU19*COS($N19)+AU20*COS($N20)+AU21*COS($N21)</f>
        <v>261.36000000000007</v>
      </c>
      <c r="CO19" s="75">
        <f>AZ19*COS($N19)+AZ20*COS($N20)+AZ21*COS($N21)</f>
        <v>26.13600000000001</v>
      </c>
      <c r="CP19" s="388">
        <f>AZ19*COS($N19)+AZ20*COS($N20)+AZ21*COS($N21)</f>
        <v>26.13600000000001</v>
      </c>
      <c r="CQ19" s="53" t="s">
        <v>255</v>
      </c>
      <c r="CR19" s="75">
        <f>CH19</f>
        <v>43184.044857716923</v>
      </c>
      <c r="CS19" s="75">
        <f>CI19</f>
        <v>6210.9602255137197</v>
      </c>
      <c r="CT19" s="75">
        <f>CJ19</f>
        <v>-12796.34557369144</v>
      </c>
      <c r="CU19" s="389">
        <v>0</v>
      </c>
      <c r="CV19" s="53" t="s">
        <v>335</v>
      </c>
      <c r="CW19" s="78">
        <f>CM19/(CR19*'Structural Information'!$U$11)</f>
        <v>1.7606502644787157E-3</v>
      </c>
      <c r="CX19" s="78">
        <f>CW19+(((1/CS19)*(CN19-CM19))/'Structural Information'!$U$11)</f>
        <v>4.8210466138093565E-3</v>
      </c>
      <c r="CY19" s="78">
        <f>CX19+(((1/CT19)*(CO19-CN19))/'Structural Information'!$U$11)</f>
        <v>1.150545502614992E-2</v>
      </c>
      <c r="CZ19" s="390">
        <f t="shared" si="25"/>
        <v>0.08</v>
      </c>
    </row>
    <row r="20" spans="2:105" ht="16.5" thickBot="1" x14ac:dyDescent="0.3">
      <c r="B20" s="816"/>
      <c r="C20" s="69">
        <v>2</v>
      </c>
      <c r="D20" s="69">
        <v>211</v>
      </c>
      <c r="E20" s="70">
        <f>'Structural Information'!$U$11</f>
        <v>2.75</v>
      </c>
      <c r="F20" s="70">
        <f>'Structural Information'!$AC$7</f>
        <v>2</v>
      </c>
      <c r="G20" s="70">
        <v>0.5</v>
      </c>
      <c r="H20" s="70">
        <v>0.5</v>
      </c>
      <c r="I20" s="70">
        <v>0.35</v>
      </c>
      <c r="J20" s="325">
        <f t="shared" si="0"/>
        <v>3.645833333333333E-3</v>
      </c>
      <c r="K20" s="70">
        <f t="shared" si="13"/>
        <v>1.5</v>
      </c>
      <c r="L20" s="70">
        <f t="shared" si="1"/>
        <v>2.25</v>
      </c>
      <c r="M20" s="70">
        <f t="shared" si="2"/>
        <v>2.7041634565979922</v>
      </c>
      <c r="N20" s="324">
        <f t="shared" si="14"/>
        <v>0.98279372324732905</v>
      </c>
      <c r="U20" s="792"/>
      <c r="V20" s="326">
        <v>2</v>
      </c>
      <c r="W20" s="69">
        <v>211</v>
      </c>
      <c r="X20" s="70">
        <f>1/((((COS(N20))^4)/'Structural Information'!$AH$17)+(((SIN(N20))^4)/'Structural Information'!$AH$18)+(((SIN(N20))^2)*((COS(N20))^2)*((1/'Structural Information'!$AH$19)-(2*'Structural Information'!$AL$19/'Structural Information'!$AH$18))))</f>
        <v>1993.8394498130422</v>
      </c>
      <c r="Y20" s="70">
        <f>((X20*('Structural Information'!$AL$17/1000)*SIN(2*N20))/(4*'Structural Information'!$AH$20*J20*L20))^(1/4)</f>
        <v>0.67437236967693737</v>
      </c>
      <c r="Z20" s="70">
        <f t="shared" si="3"/>
        <v>1.8545240166115777</v>
      </c>
      <c r="AA20" s="327">
        <f t="shared" si="4"/>
        <v>1.3</v>
      </c>
      <c r="AB20" s="327">
        <f t="shared" si="5"/>
        <v>-0.17799999999999999</v>
      </c>
      <c r="AC20" s="70">
        <f t="shared" si="6"/>
        <v>1.4142463773539466</v>
      </c>
      <c r="AD20" s="70">
        <f>((0.6*'Structural Information'!$AJ$17)+(0.3*'Structural Information'!$AL$18))/(AC20/M20)</f>
        <v>0.63098902352995101</v>
      </c>
      <c r="AE20" s="70">
        <f>(((1.2*SIN(N20)+0.45*COS(N20))*'Structural Information'!$AJ$18)+(0.3*'Structural Information'!$AL$18))/(AC20/M20)</f>
        <v>1.0500292055040885</v>
      </c>
      <c r="AF20" s="70">
        <f>(1.12*'Structural Information'!$AJ$19*COS(N20)*SIN(N20))/((AA20*(Z20^(-0.12)))+(AB20*(Z20^(0.88))))</f>
        <v>1.1594194676707341</v>
      </c>
      <c r="AG20" s="70">
        <f>(1.16*'Structural Information'!$AJ$19*TAN(N20))/((AA20)+(AB20*Z20))</f>
        <v>3.623898459540202</v>
      </c>
      <c r="AH20" s="70">
        <f t="shared" si="7"/>
        <v>0.63098902352995101</v>
      </c>
      <c r="AI20" s="70">
        <f>AH20*AC20*'Structural Information'!$AL$17</f>
        <v>71.389915254187002</v>
      </c>
      <c r="AJ20" s="70">
        <f t="shared" si="8"/>
        <v>57.111932203349603</v>
      </c>
      <c r="AK20" s="324">
        <f t="shared" si="9"/>
        <v>7.1389915254187004</v>
      </c>
      <c r="AL20" s="55"/>
      <c r="AM20" s="801"/>
      <c r="AN20" s="61">
        <v>2</v>
      </c>
      <c r="AO20" s="61">
        <v>211</v>
      </c>
      <c r="AP20" s="328">
        <v>2.75</v>
      </c>
      <c r="AQ20" s="20">
        <f t="shared" si="10"/>
        <v>57.111932203349603</v>
      </c>
      <c r="AR20" s="63">
        <f t="shared" si="15"/>
        <v>8.0000000000000004E-4</v>
      </c>
      <c r="AS20" s="62">
        <f>AQ20/(AR20*(SQRT(($F$20^2)+($E$20^2))))</f>
        <v>20994.763825966424</v>
      </c>
      <c r="AT20" s="329">
        <f>AS20*((COS($N$20))^2)</f>
        <v>6459.9273310665922</v>
      </c>
      <c r="AU20" s="20">
        <f t="shared" si="11"/>
        <v>71.389915254187002</v>
      </c>
      <c r="AV20" s="63">
        <f t="shared" si="16"/>
        <v>2.2000000000000001E-3</v>
      </c>
      <c r="AW20" s="62">
        <f>AU20/(AV20*(SQRT(($F$20^2)+($E$20^2))))</f>
        <v>9543.0744663483729</v>
      </c>
      <c r="AX20" s="210">
        <f>(AU20-AQ20)/((AV20-AR20)*(SQRT(($F$20^2)+($E$20^2))))</f>
        <v>2999.2519751380596</v>
      </c>
      <c r="AY20" s="329">
        <f>AX20*((COS($N$20))^2)</f>
        <v>922.84676158094146</v>
      </c>
      <c r="AZ20" s="20">
        <f t="shared" si="12"/>
        <v>7.1389915254187004</v>
      </c>
      <c r="BA20" s="63">
        <f t="shared" si="17"/>
        <v>8.8999999999999999E-3</v>
      </c>
      <c r="BB20" s="62">
        <f>BC20/((COS($N$20))^2)</f>
        <v>-6286.5671641791068</v>
      </c>
      <c r="BC20" s="194">
        <f>((AZ20*COS($N$20))-(AU20*COS($N$20)))/((BA20-AV20)*AP20)</f>
        <v>-1934.3283582089559</v>
      </c>
      <c r="BE20" s="791">
        <v>2</v>
      </c>
      <c r="BF20" s="102">
        <v>1</v>
      </c>
      <c r="BG20" s="102">
        <v>7112</v>
      </c>
      <c r="BH20" s="102" t="s">
        <v>27</v>
      </c>
      <c r="BI20" s="311">
        <f>'Structural Information'!$U$10</f>
        <v>3</v>
      </c>
      <c r="BJ20" s="358">
        <f>('Structural Information'!$X$24)*(200)/$BI20</f>
        <v>53616.514621265807</v>
      </c>
      <c r="BK20" s="313">
        <f>'Structural Information'!$T$23*'Structural Information'!$T$24*(4700*SQRT('Structural Information'!$AC$18))/(BI20*1000)</f>
        <v>433495.56258141535</v>
      </c>
      <c r="BX20" s="319"/>
      <c r="BY20" s="89"/>
      <c r="BZ20" s="89"/>
      <c r="CA20" s="89"/>
      <c r="CB20" s="89"/>
      <c r="CC20" s="89"/>
      <c r="CD20" s="89"/>
      <c r="CF20" s="640"/>
      <c r="CG20" s="334">
        <v>2</v>
      </c>
      <c r="CH20" s="806"/>
      <c r="CI20" s="806"/>
      <c r="CJ20" s="810"/>
      <c r="CP20" s="391"/>
    </row>
    <row r="21" spans="2:105" ht="16.5" thickBot="1" x14ac:dyDescent="0.3">
      <c r="B21" s="817"/>
      <c r="C21" s="336">
        <v>3</v>
      </c>
      <c r="D21" s="336">
        <v>311</v>
      </c>
      <c r="E21" s="150">
        <f>'Structural Information'!$U$11</f>
        <v>2.75</v>
      </c>
      <c r="F21" s="150">
        <f>'Structural Information'!$AC$6</f>
        <v>4.5</v>
      </c>
      <c r="G21" s="150">
        <v>0.5</v>
      </c>
      <c r="H21" s="150">
        <v>0.3</v>
      </c>
      <c r="I21" s="150">
        <v>0.3</v>
      </c>
      <c r="J21" s="337">
        <f t="shared" si="0"/>
        <v>6.7499999999999993E-4</v>
      </c>
      <c r="K21" s="150">
        <f t="shared" si="13"/>
        <v>4.2</v>
      </c>
      <c r="L21" s="150">
        <f t="shared" si="1"/>
        <v>2.25</v>
      </c>
      <c r="M21" s="150">
        <f t="shared" si="2"/>
        <v>4.7647140522805778</v>
      </c>
      <c r="N21" s="338">
        <f t="shared" si="14"/>
        <v>0.49180917598869855</v>
      </c>
      <c r="U21" s="794"/>
      <c r="V21" s="339">
        <v>3</v>
      </c>
      <c r="W21" s="336">
        <v>311</v>
      </c>
      <c r="X21" s="150">
        <f>1/((((COS(N21))^4)/'Structural Information'!$AH$17)+(((SIN(N21))^4)/'Structural Information'!$AH$18)+(((SIN(N21))^2)*((COS(N21))^2)*((1/'Structural Information'!$AH$19)-(2*'Structural Information'!$AL$19/'Structural Information'!$AH$18))))</f>
        <v>1319.4785945384108</v>
      </c>
      <c r="Y21" s="150">
        <f>((X21*('Structural Information'!$AL$17/1000)*SIN(2*N21))/(4*'Structural Information'!$AH$20*J21*L21))^(1/4)</f>
        <v>0.90362580654119251</v>
      </c>
      <c r="Z21" s="150">
        <f t="shared" si="3"/>
        <v>2.4849709679882794</v>
      </c>
      <c r="AA21" s="340">
        <f t="shared" si="4"/>
        <v>1.3</v>
      </c>
      <c r="AB21" s="340">
        <f t="shared" si="5"/>
        <v>-0.17799999999999999</v>
      </c>
      <c r="AC21" s="150">
        <f t="shared" si="6"/>
        <v>1.644516968796413</v>
      </c>
      <c r="AD21" s="150">
        <f>((0.6*'Structural Information'!$AJ$17)+(0.3*'Structural Information'!$AL$18))/(AC21/M21)</f>
        <v>0.95612004441849241</v>
      </c>
      <c r="AE21" s="150">
        <f>(((1.2*SIN(N21)+0.45*COS(N21))*'Structural Information'!$AJ$18)+(0.3*'Structural Information'!$AL$18))/(AC21/M21)</f>
        <v>1.2280809735141271</v>
      </c>
      <c r="AF21" s="150">
        <f>(1.12*'Structural Information'!$AJ$19*COS(N21)*SIN(N21))/((AA21*(Z21^(-0.12)))+(AB21*(Z21^(0.88))))</f>
        <v>1.2247381284352927</v>
      </c>
      <c r="AG21" s="150">
        <f>(1.16*'Structural Information'!$AJ$19*TAN(N21))/((AA21)+(AB21*Z21))</f>
        <v>1.4635910675305832</v>
      </c>
      <c r="AH21" s="150">
        <f t="shared" si="7"/>
        <v>0.95612004441849241</v>
      </c>
      <c r="AI21" s="150">
        <f>AH21*AC21*'Structural Information'!$AL$17</f>
        <v>125.78845098020727</v>
      </c>
      <c r="AJ21" s="150">
        <f t="shared" si="8"/>
        <v>100.63076078416583</v>
      </c>
      <c r="AK21" s="338">
        <f t="shared" si="9"/>
        <v>12.578845098020729</v>
      </c>
      <c r="AL21" s="55"/>
      <c r="AM21" s="819"/>
      <c r="AN21" s="179">
        <v>3</v>
      </c>
      <c r="AO21" s="179">
        <v>311</v>
      </c>
      <c r="AP21" s="392">
        <v>2.75</v>
      </c>
      <c r="AQ21" s="33">
        <f t="shared" si="10"/>
        <v>100.63076078416583</v>
      </c>
      <c r="AR21" s="78">
        <f t="shared" si="15"/>
        <v>8.0000000000000004E-4</v>
      </c>
      <c r="AS21" s="32">
        <f>AQ21/(AR21*(SQRT(($F$21^2)+($E$21^2))))</f>
        <v>23851.777801029071</v>
      </c>
      <c r="AT21" s="393">
        <f>AS21*((COS($N$21))^2)</f>
        <v>18532.996824585523</v>
      </c>
      <c r="AU21" s="33">
        <f t="shared" si="11"/>
        <v>125.78845098020727</v>
      </c>
      <c r="AV21" s="78">
        <f t="shared" si="16"/>
        <v>2.2000000000000001E-3</v>
      </c>
      <c r="AW21" s="32">
        <f>AU21/(AV21*(SQRT(($F$21^2)+($E$21^2))))</f>
        <v>10841.71718228594</v>
      </c>
      <c r="AX21" s="37">
        <f>(AU21-AQ21)/((AV21-AR21)*(SQRT(($F$21^2)+($E$21^2))))</f>
        <v>3407.3968287184366</v>
      </c>
      <c r="AY21" s="393">
        <f>AX21*((COS($N$21))^2)</f>
        <v>2647.5709749407874</v>
      </c>
      <c r="AZ21" s="33">
        <f t="shared" si="12"/>
        <v>12.578845098020729</v>
      </c>
      <c r="BA21" s="78">
        <f t="shared" si="17"/>
        <v>8.8999999999999999E-3</v>
      </c>
      <c r="BB21" s="32">
        <f>BC21/((COS($N$21))^2)</f>
        <v>-6970.4904051172725</v>
      </c>
      <c r="BC21" s="209">
        <f>((AZ21*COS($N$21))-(AU21*COS($N$21)))/((BA21-AV21)*AP21)</f>
        <v>-5416.1194029850767</v>
      </c>
      <c r="BE21" s="792"/>
      <c r="BF21" s="61">
        <v>2</v>
      </c>
      <c r="BG21" s="61">
        <v>7212</v>
      </c>
      <c r="BH21" s="61" t="s">
        <v>28</v>
      </c>
      <c r="BI21" s="311">
        <f>'Structural Information'!$U$10</f>
        <v>3</v>
      </c>
      <c r="BJ21" s="73">
        <f>('Structural Information'!$X$29)*(200)/$BI21</f>
        <v>53616.514621265807</v>
      </c>
      <c r="BK21" s="330">
        <f>'Structural Information'!$T$28*'Structural Information'!$T$29*(4700*SQRT('Structural Information'!$AC$18))/(BI21*1000)</f>
        <v>624233.61011723801</v>
      </c>
      <c r="BX21" s="89"/>
      <c r="BY21" s="89"/>
      <c r="BZ21" s="89"/>
      <c r="CA21" s="89"/>
      <c r="CB21" s="89"/>
      <c r="CC21" s="89"/>
      <c r="CD21" s="250"/>
      <c r="CF21" s="641"/>
      <c r="CG21" s="394">
        <v>3</v>
      </c>
      <c r="CH21" s="807"/>
      <c r="CI21" s="807"/>
      <c r="CJ21" s="811"/>
      <c r="CV21" s="763" t="s">
        <v>334</v>
      </c>
      <c r="CW21" s="764"/>
      <c r="CX21" s="764"/>
      <c r="CY21" s="764"/>
      <c r="CZ21" s="765"/>
    </row>
    <row r="22" spans="2:105" x14ac:dyDescent="0.25">
      <c r="B22" s="61"/>
      <c r="C22" s="61"/>
      <c r="D22" s="61"/>
      <c r="E22" s="62"/>
      <c r="F22" s="62"/>
      <c r="G22" s="62"/>
      <c r="H22" s="62"/>
      <c r="I22" s="62"/>
      <c r="J22" s="395"/>
      <c r="K22" s="62"/>
      <c r="L22" s="62"/>
      <c r="M22" s="62"/>
      <c r="N22" s="62"/>
      <c r="U22" s="61"/>
      <c r="V22" s="61"/>
      <c r="W22" s="61"/>
      <c r="X22" s="62"/>
      <c r="Y22" s="62"/>
      <c r="Z22" s="62"/>
      <c r="AA22" s="396"/>
      <c r="AB22" s="396"/>
      <c r="AC22" s="62"/>
      <c r="AD22" s="62"/>
      <c r="AE22" s="62"/>
      <c r="AF22" s="62"/>
      <c r="AG22" s="62"/>
      <c r="AH22" s="62"/>
      <c r="AI22" s="62"/>
      <c r="AJ22" s="62"/>
      <c r="AK22" s="62"/>
      <c r="AL22" s="55"/>
      <c r="AM22" s="61"/>
      <c r="AN22" s="61"/>
      <c r="AO22" s="61"/>
      <c r="AP22" s="62"/>
      <c r="AQ22" s="62"/>
      <c r="AR22" s="63"/>
      <c r="AS22" s="397"/>
      <c r="AT22" s="62"/>
      <c r="AU22" s="62"/>
      <c r="AV22" s="63"/>
      <c r="AW22" s="63"/>
      <c r="AX22" s="397"/>
      <c r="AY22" s="62"/>
      <c r="AZ22" s="62"/>
      <c r="BA22" s="63"/>
      <c r="BB22" s="63"/>
      <c r="BC22" s="62"/>
      <c r="BE22" s="792"/>
      <c r="BF22" s="61">
        <v>3</v>
      </c>
      <c r="BG22" s="61">
        <v>7312</v>
      </c>
      <c r="BH22" s="61" t="s">
        <v>28</v>
      </c>
      <c r="BI22" s="311">
        <f>'Structural Information'!$U$10</f>
        <v>3</v>
      </c>
      <c r="BJ22" s="73">
        <f>('Structural Information'!$X$29)*(200)/$BI22</f>
        <v>53616.514621265807</v>
      </c>
      <c r="BK22" s="330">
        <f>'Structural Information'!$T$28*'Structural Information'!$T$29*(4700*SQRT('Structural Information'!$AC$18))/(BI22*1000)</f>
        <v>624233.61011723801</v>
      </c>
      <c r="BX22" s="89"/>
      <c r="BY22" s="89"/>
      <c r="BZ22" s="89"/>
      <c r="CA22" s="89"/>
      <c r="CB22" s="89"/>
      <c r="CC22" s="89"/>
      <c r="CD22" s="250"/>
      <c r="CF22" s="59"/>
      <c r="CG22" s="61"/>
      <c r="CH22" s="62"/>
      <c r="CI22" s="62"/>
      <c r="CJ22" s="62"/>
      <c r="CV22" s="731" t="s">
        <v>332</v>
      </c>
      <c r="CW22" s="841" t="s">
        <v>213</v>
      </c>
      <c r="CX22" s="770" t="s">
        <v>214</v>
      </c>
      <c r="CY22" s="770" t="s">
        <v>215</v>
      </c>
      <c r="CZ22" s="766" t="s">
        <v>216</v>
      </c>
    </row>
    <row r="23" spans="2:105" x14ac:dyDescent="0.25">
      <c r="B23" s="61"/>
      <c r="C23" s="61"/>
      <c r="D23" s="61"/>
      <c r="E23" s="62"/>
      <c r="F23" s="62"/>
      <c r="G23" s="62"/>
      <c r="H23" s="62"/>
      <c r="I23" s="62"/>
      <c r="J23" s="395"/>
      <c r="K23" s="62"/>
      <c r="L23" s="62"/>
      <c r="M23" s="62"/>
      <c r="N23" s="62"/>
      <c r="U23" s="61"/>
      <c r="V23" s="61"/>
      <c r="W23" s="61"/>
      <c r="X23" s="62"/>
      <c r="Y23" s="62"/>
      <c r="Z23" s="62"/>
      <c r="AA23" s="396"/>
      <c r="AB23" s="396"/>
      <c r="AC23" s="62"/>
      <c r="AD23" s="62"/>
      <c r="AE23" s="62"/>
      <c r="AF23" s="62"/>
      <c r="AG23" s="62"/>
      <c r="AH23" s="62"/>
      <c r="AI23" s="62"/>
      <c r="AJ23" s="62"/>
      <c r="AK23" s="62"/>
      <c r="AL23" s="55"/>
      <c r="AM23" s="61"/>
      <c r="AN23" s="61"/>
      <c r="AO23" s="61"/>
      <c r="AP23" s="62"/>
      <c r="AQ23" s="62"/>
      <c r="AR23" s="63"/>
      <c r="AS23" s="397"/>
      <c r="AT23" s="62"/>
      <c r="AU23" s="62"/>
      <c r="AV23" s="63"/>
      <c r="AW23" s="63"/>
      <c r="AX23" s="397"/>
      <c r="AY23" s="62"/>
      <c r="AZ23" s="62"/>
      <c r="BA23" s="63"/>
      <c r="BB23" s="63"/>
      <c r="BC23" s="62"/>
      <c r="BE23" s="793"/>
      <c r="BF23" s="130">
        <v>4</v>
      </c>
      <c r="BG23" s="130">
        <v>7412</v>
      </c>
      <c r="BH23" s="130" t="s">
        <v>27</v>
      </c>
      <c r="BI23" s="311">
        <f>'Structural Information'!$U$10</f>
        <v>3</v>
      </c>
      <c r="BJ23" s="372">
        <f>('Structural Information'!$X$24)*(200)/$BI23</f>
        <v>53616.514621265807</v>
      </c>
      <c r="BK23" s="353">
        <f>'Structural Information'!$T$23*'Structural Information'!$T$24*(4700*SQRT('Structural Information'!$AC$18))/(BI23*1000)</f>
        <v>433495.56258141535</v>
      </c>
      <c r="BX23" s="89"/>
      <c r="BY23" s="89"/>
      <c r="BZ23" s="89"/>
      <c r="CA23" s="89"/>
      <c r="CB23" s="89"/>
      <c r="CC23" s="89"/>
      <c r="CD23" s="250"/>
      <c r="CF23" s="59"/>
      <c r="CG23" s="61"/>
      <c r="CH23" s="62"/>
      <c r="CI23" s="62"/>
      <c r="CJ23" s="62"/>
      <c r="CV23" s="732"/>
      <c r="CW23" s="842"/>
      <c r="CX23" s="771"/>
      <c r="CY23" s="771"/>
      <c r="CZ23" s="767"/>
    </row>
    <row r="24" spans="2:105" x14ac:dyDescent="0.25">
      <c r="B24" s="61"/>
      <c r="C24" s="61"/>
      <c r="D24" s="61"/>
      <c r="E24" s="62"/>
      <c r="F24" s="62"/>
      <c r="G24" s="62"/>
      <c r="H24" s="62"/>
      <c r="I24" s="62"/>
      <c r="J24" s="395"/>
      <c r="K24" s="62"/>
      <c r="L24" s="62"/>
      <c r="M24" s="62"/>
      <c r="N24" s="62"/>
      <c r="U24" s="61"/>
      <c r="V24" s="61"/>
      <c r="W24" s="61"/>
      <c r="X24" s="62"/>
      <c r="Y24" s="62"/>
      <c r="Z24" s="62"/>
      <c r="AA24" s="396"/>
      <c r="AB24" s="396"/>
      <c r="AC24" s="62"/>
      <c r="AD24" s="62"/>
      <c r="AE24" s="62"/>
      <c r="AF24" s="62"/>
      <c r="AG24" s="62"/>
      <c r="AH24" s="62"/>
      <c r="AI24" s="62"/>
      <c r="AJ24" s="62"/>
      <c r="AK24" s="62"/>
      <c r="AL24" s="55"/>
      <c r="AM24" s="61"/>
      <c r="AN24" s="61"/>
      <c r="AO24" s="61"/>
      <c r="AP24" s="62"/>
      <c r="AQ24" s="62"/>
      <c r="AR24" s="63"/>
      <c r="AS24" s="397"/>
      <c r="AT24" s="62"/>
      <c r="AU24" s="62"/>
      <c r="AV24" s="63"/>
      <c r="AW24" s="63"/>
      <c r="AX24" s="397"/>
      <c r="AY24" s="62"/>
      <c r="AZ24" s="62"/>
      <c r="BA24" s="63"/>
      <c r="BB24" s="63"/>
      <c r="BC24" s="62"/>
      <c r="BE24" s="791">
        <v>1</v>
      </c>
      <c r="BF24" s="102">
        <v>1</v>
      </c>
      <c r="BG24" s="102">
        <v>7111</v>
      </c>
      <c r="BH24" s="102" t="s">
        <v>28</v>
      </c>
      <c r="BI24" s="357">
        <f>'Structural Information'!$U$11</f>
        <v>2.75</v>
      </c>
      <c r="BJ24" s="358">
        <f>('Structural Information'!$X$29)*(200)/$BI24</f>
        <v>58490.743223199061</v>
      </c>
      <c r="BK24" s="313">
        <f>'Structural Information'!$T$28*'Structural Information'!$T$29*(4700*SQRT('Structural Information'!$AC$18))/(BI24*1000)</f>
        <v>680982.12012789608</v>
      </c>
      <c r="BX24" s="89"/>
      <c r="BY24" s="89"/>
      <c r="BZ24" s="89"/>
      <c r="CA24" s="89"/>
      <c r="CB24" s="89"/>
      <c r="CC24" s="89"/>
      <c r="CD24" s="250"/>
      <c r="CF24" s="59"/>
      <c r="CG24" s="61"/>
      <c r="CH24" s="62"/>
      <c r="CI24" s="62"/>
      <c r="CJ24" s="62"/>
      <c r="CV24" s="376" t="s">
        <v>450</v>
      </c>
      <c r="CW24" s="19">
        <f t="shared" ref="CW24:CZ29" si="26">CW14/$CW14</f>
        <v>1</v>
      </c>
      <c r="CX24" s="19">
        <f t="shared" si="26"/>
        <v>2.37146233599023</v>
      </c>
      <c r="CY24" s="19">
        <f t="shared" si="26"/>
        <v>5.0802075600383843</v>
      </c>
      <c r="CZ24" s="194">
        <f t="shared" si="26"/>
        <v>35.733462931429848</v>
      </c>
    </row>
    <row r="25" spans="2:105" x14ac:dyDescent="0.25">
      <c r="B25" s="61"/>
      <c r="C25" s="61"/>
      <c r="D25" s="61"/>
      <c r="E25" s="62"/>
      <c r="F25" s="62"/>
      <c r="G25" s="62"/>
      <c r="H25" s="62"/>
      <c r="I25" s="62"/>
      <c r="J25" s="395"/>
      <c r="K25" s="62"/>
      <c r="L25" s="62"/>
      <c r="M25" s="62"/>
      <c r="N25" s="62"/>
      <c r="U25" s="61"/>
      <c r="V25" s="61"/>
      <c r="W25" s="61"/>
      <c r="X25" s="62"/>
      <c r="Y25" s="62"/>
      <c r="Z25" s="62"/>
      <c r="AA25" s="396"/>
      <c r="AB25" s="396"/>
      <c r="AC25" s="62"/>
      <c r="AD25" s="62"/>
      <c r="AE25" s="62"/>
      <c r="AF25" s="62"/>
      <c r="AG25" s="62"/>
      <c r="AH25" s="62"/>
      <c r="AI25" s="62"/>
      <c r="AJ25" s="62"/>
      <c r="AK25" s="62"/>
      <c r="AL25" s="55"/>
      <c r="AM25" s="61"/>
      <c r="AN25" s="61"/>
      <c r="AO25" s="61"/>
      <c r="AP25" s="62"/>
      <c r="AQ25" s="62"/>
      <c r="AR25" s="63"/>
      <c r="AS25" s="397"/>
      <c r="AT25" s="62"/>
      <c r="AU25" s="62"/>
      <c r="AV25" s="63"/>
      <c r="AW25" s="63"/>
      <c r="AX25" s="397"/>
      <c r="AY25" s="62"/>
      <c r="AZ25" s="62"/>
      <c r="BA25" s="63"/>
      <c r="BB25" s="63"/>
      <c r="BC25" s="62"/>
      <c r="BE25" s="792"/>
      <c r="BF25" s="61">
        <v>2</v>
      </c>
      <c r="BG25" s="61">
        <v>7211</v>
      </c>
      <c r="BH25" s="61" t="s">
        <v>29</v>
      </c>
      <c r="BI25" s="311">
        <f>'Structural Information'!$U$11</f>
        <v>2.75</v>
      </c>
      <c r="BJ25" s="73">
        <f>('Structural Information'!$X$34)*(200)/$BI25</f>
        <v>74027.346891861307</v>
      </c>
      <c r="BK25" s="330">
        <f>'Structural Information'!$T$33*'Structural Information'!$T$34*(4700*SQRT('Structural Information'!$AC$18))/(BI25*1000)</f>
        <v>1324131.9002486868</v>
      </c>
      <c r="BX25" s="89"/>
      <c r="BY25" s="89"/>
      <c r="BZ25" s="89"/>
      <c r="CA25" s="89"/>
      <c r="CB25" s="89"/>
      <c r="CC25" s="89"/>
      <c r="CD25" s="250"/>
      <c r="CF25" s="59"/>
      <c r="CG25" s="61"/>
      <c r="CH25" s="62"/>
      <c r="CI25" s="62"/>
      <c r="CJ25" s="62"/>
      <c r="CV25" s="376" t="s">
        <v>451</v>
      </c>
      <c r="CW25" s="19">
        <f t="shared" si="26"/>
        <v>1</v>
      </c>
      <c r="CX25" s="19">
        <f t="shared" si="26"/>
        <v>2.5554650466670865</v>
      </c>
      <c r="CY25" s="19">
        <f t="shared" si="26"/>
        <v>5.8904986516695841</v>
      </c>
      <c r="CZ25" s="194">
        <f t="shared" si="26"/>
        <v>41.588523245678481</v>
      </c>
    </row>
    <row r="26" spans="2:105" x14ac:dyDescent="0.25">
      <c r="B26" s="61"/>
      <c r="C26" s="61"/>
      <c r="D26" s="61"/>
      <c r="E26" s="62"/>
      <c r="F26" s="62"/>
      <c r="G26" s="62"/>
      <c r="H26" s="62"/>
      <c r="I26" s="62"/>
      <c r="J26" s="395"/>
      <c r="K26" s="62"/>
      <c r="L26" s="62"/>
      <c r="M26" s="62"/>
      <c r="N26" s="62"/>
      <c r="U26" s="61"/>
      <c r="V26" s="61"/>
      <c r="W26" s="61"/>
      <c r="X26" s="62"/>
      <c r="Y26" s="62"/>
      <c r="Z26" s="62"/>
      <c r="AA26" s="396"/>
      <c r="AB26" s="396"/>
      <c r="AC26" s="62"/>
      <c r="AD26" s="62"/>
      <c r="AE26" s="62"/>
      <c r="AF26" s="62"/>
      <c r="AG26" s="62"/>
      <c r="AH26" s="62"/>
      <c r="AI26" s="62"/>
      <c r="AJ26" s="62"/>
      <c r="AK26" s="62"/>
      <c r="AL26" s="55"/>
      <c r="AM26" s="61"/>
      <c r="AN26" s="61"/>
      <c r="AO26" s="61"/>
      <c r="AP26" s="62"/>
      <c r="AQ26" s="62"/>
      <c r="AR26" s="63"/>
      <c r="AS26" s="397"/>
      <c r="AT26" s="62"/>
      <c r="AU26" s="62"/>
      <c r="AV26" s="63"/>
      <c r="AW26" s="63"/>
      <c r="AX26" s="397"/>
      <c r="AY26" s="62"/>
      <c r="AZ26" s="62"/>
      <c r="BA26" s="63"/>
      <c r="BB26" s="63"/>
      <c r="BC26" s="62"/>
      <c r="BE26" s="792"/>
      <c r="BF26" s="61">
        <v>3</v>
      </c>
      <c r="BG26" s="61">
        <v>7311</v>
      </c>
      <c r="BH26" s="61" t="s">
        <v>29</v>
      </c>
      <c r="BI26" s="311">
        <f>'Structural Information'!$U$11</f>
        <v>2.75</v>
      </c>
      <c r="BJ26" s="73">
        <f>('Structural Information'!$X$34)*(200)/$BI26</f>
        <v>74027.346891861307</v>
      </c>
      <c r="BK26" s="330">
        <f>'Structural Information'!$T$33*'Structural Information'!$T$34*(4700*SQRT('Structural Information'!$AC$18))/(BI26*1000)</f>
        <v>1324131.9002486868</v>
      </c>
      <c r="BX26" s="89"/>
      <c r="BY26" s="89"/>
      <c r="BZ26" s="89"/>
      <c r="CA26" s="89"/>
      <c r="CB26" s="89"/>
      <c r="CC26" s="89"/>
      <c r="CD26" s="250"/>
      <c r="CF26" s="59"/>
      <c r="CG26" s="61"/>
      <c r="CH26" s="62"/>
      <c r="CI26" s="62"/>
      <c r="CJ26" s="62"/>
      <c r="CV26" s="376" t="s">
        <v>452</v>
      </c>
      <c r="CW26" s="19">
        <f t="shared" si="26"/>
        <v>1</v>
      </c>
      <c r="CX26" s="19">
        <f t="shared" si="26"/>
        <v>2.6056109868011239</v>
      </c>
      <c r="CY26" s="19">
        <f t="shared" si="26"/>
        <v>6.1136011318446659</v>
      </c>
      <c r="CZ26" s="194">
        <f t="shared" si="26"/>
        <v>43.190702984768762</v>
      </c>
    </row>
    <row r="27" spans="2:105" ht="16.5" thickBot="1" x14ac:dyDescent="0.3">
      <c r="B27" s="61"/>
      <c r="C27" s="61"/>
      <c r="D27" s="61"/>
      <c r="E27" s="62"/>
      <c r="F27" s="62"/>
      <c r="G27" s="62"/>
      <c r="H27" s="62"/>
      <c r="I27" s="62"/>
      <c r="J27" s="395"/>
      <c r="K27" s="62"/>
      <c r="L27" s="62"/>
      <c r="M27" s="62"/>
      <c r="N27" s="62"/>
      <c r="U27" s="61"/>
      <c r="V27" s="61"/>
      <c r="W27" s="61"/>
      <c r="X27" s="62"/>
      <c r="Y27" s="62"/>
      <c r="Z27" s="62"/>
      <c r="AA27" s="396"/>
      <c r="AB27" s="396"/>
      <c r="AC27" s="62"/>
      <c r="AD27" s="62"/>
      <c r="AE27" s="62"/>
      <c r="AF27" s="62"/>
      <c r="AG27" s="62"/>
      <c r="AH27" s="62"/>
      <c r="AI27" s="62"/>
      <c r="AJ27" s="62"/>
      <c r="AK27" s="62"/>
      <c r="AL27" s="55"/>
      <c r="AM27" s="61"/>
      <c r="AN27" s="61"/>
      <c r="AO27" s="61"/>
      <c r="AP27" s="62"/>
      <c r="AQ27" s="62"/>
      <c r="AR27" s="63"/>
      <c r="AS27" s="397"/>
      <c r="AT27" s="62"/>
      <c r="AU27" s="62"/>
      <c r="AV27" s="63"/>
      <c r="AW27" s="63"/>
      <c r="AX27" s="397"/>
      <c r="AY27" s="62"/>
      <c r="AZ27" s="62"/>
      <c r="BA27" s="63"/>
      <c r="BB27" s="63"/>
      <c r="BC27" s="62"/>
      <c r="BE27" s="794"/>
      <c r="BF27" s="179">
        <v>4</v>
      </c>
      <c r="BG27" s="179">
        <v>7411</v>
      </c>
      <c r="BH27" s="179" t="s">
        <v>28</v>
      </c>
      <c r="BI27" s="370">
        <f>'Structural Information'!$U$11</f>
        <v>2.75</v>
      </c>
      <c r="BJ27" s="76">
        <f>('Structural Information'!$X$29)*(200)/$BI27</f>
        <v>58490.743223199061</v>
      </c>
      <c r="BK27" s="398">
        <f>'Structural Information'!$T$28*'Structural Information'!$T$29*(4700*SQRT('Structural Information'!$AC$18))/(BI27*1000)</f>
        <v>680982.12012789608</v>
      </c>
      <c r="BX27" s="89"/>
      <c r="BY27" s="89"/>
      <c r="BZ27" s="89"/>
      <c r="CA27" s="89"/>
      <c r="CB27" s="89"/>
      <c r="CC27" s="89"/>
      <c r="CD27" s="250"/>
      <c r="CF27" s="59"/>
      <c r="CG27" s="61"/>
      <c r="CH27" s="62"/>
      <c r="CI27" s="62"/>
      <c r="CJ27" s="62"/>
      <c r="CV27" s="376" t="s">
        <v>453</v>
      </c>
      <c r="CW27" s="19">
        <f t="shared" si="26"/>
        <v>1</v>
      </c>
      <c r="CX27" s="19">
        <f t="shared" si="26"/>
        <v>2.6559790720330803</v>
      </c>
      <c r="CY27" s="19">
        <f t="shared" si="26"/>
        <v>6.3247420995393933</v>
      </c>
      <c r="CZ27" s="194">
        <f t="shared" si="26"/>
        <v>44.653641780920331</v>
      </c>
    </row>
    <row r="28" spans="2:105" x14ac:dyDescent="0.25">
      <c r="B28" s="61"/>
      <c r="C28" s="61"/>
      <c r="D28" s="61"/>
      <c r="E28" s="62"/>
      <c r="F28" s="62"/>
      <c r="G28" s="62"/>
      <c r="H28" s="62"/>
      <c r="I28" s="62"/>
      <c r="J28" s="395"/>
      <c r="K28" s="62"/>
      <c r="L28" s="62"/>
      <c r="M28" s="62"/>
      <c r="N28" s="62"/>
      <c r="U28" s="61"/>
      <c r="V28" s="61"/>
      <c r="W28" s="61"/>
      <c r="X28" s="62"/>
      <c r="Y28" s="62"/>
      <c r="Z28" s="62"/>
      <c r="AA28" s="396"/>
      <c r="AB28" s="396"/>
      <c r="AC28" s="62"/>
      <c r="AD28" s="62"/>
      <c r="AE28" s="62"/>
      <c r="AF28" s="62"/>
      <c r="AG28" s="62"/>
      <c r="AH28" s="62"/>
      <c r="AI28" s="62"/>
      <c r="AJ28" s="62"/>
      <c r="AK28" s="62"/>
      <c r="AL28" s="55"/>
      <c r="AM28" s="61"/>
      <c r="AN28" s="61"/>
      <c r="AO28" s="61"/>
      <c r="AP28" s="62"/>
      <c r="AQ28" s="62"/>
      <c r="AR28" s="63"/>
      <c r="AS28" s="397"/>
      <c r="AT28" s="62"/>
      <c r="AU28" s="62"/>
      <c r="AV28" s="63"/>
      <c r="AW28" s="63"/>
      <c r="AX28" s="397"/>
      <c r="AY28" s="62"/>
      <c r="AZ28" s="62"/>
      <c r="BA28" s="63"/>
      <c r="BB28" s="63"/>
      <c r="BC28" s="62"/>
      <c r="BX28" s="89"/>
      <c r="BY28" s="89"/>
      <c r="BZ28" s="89"/>
      <c r="CA28" s="89"/>
      <c r="CB28" s="89"/>
      <c r="CC28" s="89"/>
      <c r="CD28" s="250"/>
      <c r="CF28" s="59"/>
      <c r="CG28" s="61"/>
      <c r="CH28" s="62"/>
      <c r="CI28" s="62"/>
      <c r="CJ28" s="62"/>
      <c r="CV28" s="376" t="s">
        <v>454</v>
      </c>
      <c r="CW28" s="19">
        <f t="shared" si="26"/>
        <v>1</v>
      </c>
      <c r="CX28" s="19">
        <f t="shared" si="26"/>
        <v>2.7024053780097663</v>
      </c>
      <c r="CY28" s="19">
        <f t="shared" si="26"/>
        <v>6.5298485550462395</v>
      </c>
      <c r="CZ28" s="194">
        <f t="shared" si="26"/>
        <v>46.128899648118235</v>
      </c>
    </row>
    <row r="29" spans="2:105" ht="16.5" thickBot="1" x14ac:dyDescent="0.3">
      <c r="BX29" s="89"/>
      <c r="BY29" s="89"/>
      <c r="BZ29" s="89"/>
      <c r="CA29" s="89"/>
      <c r="CB29" s="89"/>
      <c r="CC29" s="89"/>
      <c r="CD29" s="250"/>
      <c r="CH29" s="55"/>
      <c r="CV29" s="149" t="s">
        <v>455</v>
      </c>
      <c r="CW29" s="32">
        <f t="shared" si="26"/>
        <v>1</v>
      </c>
      <c r="CX29" s="32">
        <f t="shared" si="26"/>
        <v>2.7382193449059273</v>
      </c>
      <c r="CY29" s="32">
        <f t="shared" si="26"/>
        <v>6.5347759621962149</v>
      </c>
      <c r="CZ29" s="209">
        <f t="shared" si="26"/>
        <v>45.437757636486651</v>
      </c>
    </row>
    <row r="30" spans="2:105" ht="16.5" customHeight="1" thickBot="1" x14ac:dyDescent="0.3">
      <c r="B30" s="399"/>
      <c r="C30" s="399"/>
      <c r="D30" s="400"/>
      <c r="E30" s="400"/>
      <c r="F30" s="400"/>
      <c r="G30" s="400"/>
      <c r="H30" s="400"/>
      <c r="I30" s="400"/>
      <c r="J30" s="400"/>
      <c r="K30" s="400"/>
      <c r="L30" s="400"/>
      <c r="M30" s="400"/>
      <c r="N30" s="400"/>
      <c r="O30" s="400"/>
      <c r="P30" s="400"/>
      <c r="Q30" s="401"/>
      <c r="R30" s="401"/>
      <c r="T30" s="784" t="s">
        <v>257</v>
      </c>
      <c r="U30" s="785"/>
      <c r="V30" s="785"/>
      <c r="W30" s="785"/>
      <c r="X30" s="785"/>
      <c r="Y30" s="785"/>
      <c r="Z30" s="786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M30" s="273"/>
      <c r="AN30" s="273"/>
      <c r="AO30" s="273"/>
      <c r="AP30" s="273"/>
      <c r="AQ30" s="273"/>
      <c r="AR30" s="273"/>
      <c r="AS30" s="273"/>
      <c r="AT30" s="273"/>
      <c r="AU30" s="273"/>
      <c r="AV30" s="273"/>
      <c r="AW30" s="273"/>
      <c r="AX30" s="273"/>
      <c r="AY30" s="273"/>
      <c r="AZ30" s="273"/>
      <c r="BA30" s="273"/>
      <c r="BB30" s="273"/>
      <c r="BC30" s="273"/>
      <c r="BD30" s="273"/>
      <c r="BE30" s="273"/>
      <c r="BF30" s="273"/>
      <c r="BG30" s="273"/>
      <c r="BH30" s="273"/>
      <c r="BI30" s="273"/>
      <c r="BJ30" s="273"/>
      <c r="BK30" s="273"/>
      <c r="BW30" s="274"/>
      <c r="BX30" s="274"/>
      <c r="BY30" s="274"/>
      <c r="BZ30" s="274"/>
      <c r="CA30" s="274"/>
      <c r="CB30" s="274"/>
      <c r="CC30" s="274"/>
      <c r="CD30" s="274"/>
      <c r="CE30" s="274"/>
      <c r="CF30" s="274"/>
      <c r="CG30" s="274"/>
      <c r="CH30" s="274"/>
      <c r="CI30" s="274"/>
      <c r="CJ30" s="274"/>
      <c r="CL30" s="402"/>
      <c r="CM30" s="402"/>
      <c r="CN30" s="402"/>
      <c r="CO30" s="402"/>
      <c r="CP30" s="402"/>
      <c r="CQ30" s="402"/>
    </row>
    <row r="31" spans="2:105" ht="16.5" customHeight="1" thickBot="1" x14ac:dyDescent="0.3">
      <c r="B31" s="403"/>
      <c r="C31" s="403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95"/>
      <c r="R31" s="95"/>
      <c r="T31" s="286" t="s">
        <v>9</v>
      </c>
      <c r="U31" s="287" t="s">
        <v>63</v>
      </c>
      <c r="V31" s="288" t="s">
        <v>32</v>
      </c>
      <c r="W31" s="288" t="s">
        <v>30</v>
      </c>
      <c r="X31" s="289" t="s">
        <v>256</v>
      </c>
      <c r="Y31" s="404" t="s">
        <v>247</v>
      </c>
      <c r="Z31" s="405" t="s">
        <v>248</v>
      </c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M31" s="273"/>
      <c r="AN31" s="273"/>
      <c r="AO31" s="273"/>
      <c r="AP31" s="273"/>
      <c r="AQ31" s="273"/>
      <c r="AR31" s="273"/>
      <c r="AS31" s="273"/>
      <c r="AT31" s="273"/>
      <c r="AU31" s="273"/>
      <c r="AV31" s="273"/>
      <c r="AW31" s="273"/>
      <c r="AX31" s="273"/>
      <c r="AY31" s="273"/>
      <c r="AZ31" s="273"/>
      <c r="BA31" s="273"/>
      <c r="BB31" s="273"/>
      <c r="BC31" s="273"/>
      <c r="BD31" s="273"/>
      <c r="BE31" s="273"/>
      <c r="BF31" s="273"/>
      <c r="BG31" s="273"/>
      <c r="BH31" s="273"/>
      <c r="BI31" s="273"/>
      <c r="BJ31" s="273"/>
      <c r="BK31" s="273"/>
      <c r="BW31" s="274"/>
      <c r="BX31" s="274"/>
      <c r="BY31" s="274"/>
      <c r="BZ31" s="274"/>
      <c r="CA31" s="274"/>
      <c r="CB31" s="274"/>
      <c r="CC31" s="274"/>
      <c r="CD31" s="274"/>
      <c r="CE31" s="274"/>
      <c r="CF31" s="274"/>
      <c r="CG31" s="274"/>
      <c r="CH31" s="274"/>
      <c r="CI31" s="274"/>
      <c r="CJ31" s="274"/>
      <c r="CL31" s="402"/>
      <c r="CM31" s="402"/>
      <c r="CN31" s="402"/>
      <c r="CO31" s="402"/>
      <c r="CP31" s="402"/>
      <c r="CQ31" s="402"/>
    </row>
    <row r="32" spans="2:105" ht="15" customHeight="1" x14ac:dyDescent="0.25">
      <c r="B32" s="403"/>
      <c r="C32" s="403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95"/>
      <c r="R32" s="95"/>
      <c r="T32" s="782">
        <v>6</v>
      </c>
      <c r="U32" s="303">
        <v>1</v>
      </c>
      <c r="V32" s="303">
        <v>7116</v>
      </c>
      <c r="W32" s="303" t="s">
        <v>12</v>
      </c>
      <c r="X32" s="406">
        <f>'Structural Information'!$AC$8</f>
        <v>4.5</v>
      </c>
      <c r="Y32" s="407">
        <f>2*(SUM('Structural Information'!$X$19:$X$20))*(200)/$X32</f>
        <v>107233.0292425316</v>
      </c>
      <c r="Z32" s="408" t="s">
        <v>83</v>
      </c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M32" s="273"/>
      <c r="AN32" s="273"/>
      <c r="AO32" s="273"/>
      <c r="AP32" s="273"/>
      <c r="AQ32" s="273"/>
      <c r="AR32" s="273"/>
      <c r="AS32" s="273"/>
      <c r="AT32" s="273"/>
      <c r="AU32" s="273"/>
      <c r="AV32" s="273"/>
      <c r="AW32" s="273"/>
      <c r="AX32" s="273"/>
      <c r="AY32" s="273"/>
      <c r="AZ32" s="273"/>
      <c r="BA32" s="273"/>
      <c r="BB32" s="273"/>
      <c r="BC32" s="273"/>
      <c r="BD32" s="273"/>
      <c r="BE32" s="273"/>
      <c r="BF32" s="273"/>
      <c r="BG32" s="273"/>
      <c r="BH32" s="273"/>
      <c r="BI32" s="273"/>
      <c r="BJ32" s="273"/>
      <c r="BK32" s="273"/>
      <c r="BW32" s="274"/>
      <c r="BX32" s="274"/>
      <c r="BY32" s="274"/>
      <c r="BZ32" s="274"/>
      <c r="CA32" s="274"/>
      <c r="CB32" s="274"/>
      <c r="CC32" s="274"/>
      <c r="CD32" s="274"/>
      <c r="CE32" s="274"/>
      <c r="CF32" s="274"/>
      <c r="CG32" s="274"/>
      <c r="CH32" s="274"/>
      <c r="CI32" s="274"/>
      <c r="CJ32" s="274"/>
      <c r="CL32" s="402"/>
      <c r="CM32" s="402"/>
      <c r="CN32" s="402"/>
      <c r="CO32" s="402"/>
      <c r="CP32" s="402"/>
      <c r="CQ32" s="402"/>
    </row>
    <row r="33" spans="2:104" ht="15" customHeight="1" x14ac:dyDescent="0.25">
      <c r="B33" s="403"/>
      <c r="C33" s="403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95"/>
      <c r="R33" s="95"/>
      <c r="T33" s="628"/>
      <c r="U33" s="69">
        <v>2</v>
      </c>
      <c r="V33" s="69">
        <v>7216</v>
      </c>
      <c r="W33" s="69" t="s">
        <v>12</v>
      </c>
      <c r="X33" s="409">
        <f>'Structural Information'!$AC$7</f>
        <v>2</v>
      </c>
      <c r="Y33" s="410">
        <f>2*(SUM('Structural Information'!$X$19:$X$20))*(200)/$X33</f>
        <v>241274.31579569611</v>
      </c>
      <c r="Z33" s="411" t="s">
        <v>83</v>
      </c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M33" s="273"/>
      <c r="AN33" s="273"/>
      <c r="AO33" s="273"/>
      <c r="AP33" s="273"/>
      <c r="AQ33" s="273"/>
      <c r="AR33" s="273"/>
      <c r="AS33" s="273"/>
      <c r="AT33" s="273"/>
      <c r="AU33" s="273"/>
      <c r="AV33" s="273"/>
      <c r="AW33" s="273"/>
      <c r="AX33" s="273"/>
      <c r="AY33" s="273"/>
      <c r="AZ33" s="273"/>
      <c r="BA33" s="273"/>
      <c r="BB33" s="273"/>
      <c r="BC33" s="273"/>
      <c r="BD33" s="273"/>
      <c r="BE33" s="273"/>
      <c r="BF33" s="273"/>
      <c r="BG33" s="273"/>
      <c r="BH33" s="273"/>
      <c r="BI33" s="273"/>
      <c r="BJ33" s="273"/>
      <c r="BK33" s="273"/>
      <c r="BW33" s="274"/>
      <c r="BX33" s="274"/>
      <c r="BY33" s="274"/>
      <c r="BZ33" s="274"/>
      <c r="CA33" s="274"/>
      <c r="CB33" s="274"/>
      <c r="CC33" s="274"/>
      <c r="CD33" s="274"/>
      <c r="CE33" s="274"/>
      <c r="CF33" s="274"/>
      <c r="CG33" s="274"/>
      <c r="CH33" s="274"/>
      <c r="CI33" s="274"/>
      <c r="CJ33" s="274"/>
      <c r="CL33" s="402"/>
      <c r="CM33" s="402"/>
      <c r="CN33" s="402"/>
      <c r="CO33" s="402"/>
      <c r="CP33" s="402"/>
      <c r="CQ33" s="402"/>
      <c r="CR33" s="402"/>
      <c r="CS33" s="402"/>
      <c r="CT33" s="402"/>
      <c r="CU33" s="402"/>
    </row>
    <row r="34" spans="2:104" ht="15" customHeight="1" thickBot="1" x14ac:dyDescent="0.3">
      <c r="B34" s="403"/>
      <c r="C34" s="403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95"/>
      <c r="R34" s="95"/>
      <c r="T34" s="783"/>
      <c r="U34" s="336">
        <v>3</v>
      </c>
      <c r="V34" s="336">
        <v>7316</v>
      </c>
      <c r="W34" s="336" t="s">
        <v>12</v>
      </c>
      <c r="X34" s="412">
        <f>'Structural Information'!$AC$6</f>
        <v>4.5</v>
      </c>
      <c r="Y34" s="413">
        <f>2*(SUM('Structural Information'!$X$19:$X$20))*(200)/$X34</f>
        <v>107233.0292425316</v>
      </c>
      <c r="Z34" s="414" t="s">
        <v>83</v>
      </c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M34" s="273"/>
      <c r="AN34" s="273"/>
      <c r="AO34" s="273"/>
      <c r="AP34" s="273"/>
      <c r="AQ34" s="273"/>
      <c r="AR34" s="273"/>
      <c r="AS34" s="273"/>
      <c r="AT34" s="273"/>
      <c r="AU34" s="273"/>
      <c r="AV34" s="273"/>
      <c r="AW34" s="273"/>
      <c r="AX34" s="273"/>
      <c r="AY34" s="273"/>
      <c r="AZ34" s="273"/>
      <c r="BA34" s="273"/>
      <c r="BB34" s="273"/>
      <c r="BC34" s="273"/>
      <c r="BD34" s="273"/>
      <c r="BE34" s="273"/>
      <c r="BF34" s="273"/>
      <c r="BG34" s="273"/>
      <c r="BH34" s="273"/>
      <c r="BI34" s="273"/>
      <c r="BJ34" s="273"/>
      <c r="BK34" s="273"/>
      <c r="BW34" s="274"/>
      <c r="BX34" s="274"/>
      <c r="BY34" s="274"/>
      <c r="BZ34" s="274"/>
      <c r="CA34" s="274"/>
      <c r="CB34" s="274"/>
      <c r="CC34" s="274"/>
      <c r="CD34" s="274"/>
      <c r="CE34" s="274"/>
      <c r="CF34" s="274"/>
      <c r="CG34" s="274"/>
      <c r="CH34" s="274"/>
      <c r="CI34" s="274"/>
      <c r="CJ34" s="274"/>
      <c r="CL34" s="402"/>
      <c r="CM34" s="402"/>
      <c r="CN34" s="402"/>
      <c r="CO34" s="402"/>
      <c r="CP34" s="402"/>
      <c r="CQ34" s="402"/>
      <c r="CR34" s="402"/>
      <c r="CS34" s="402"/>
      <c r="CT34" s="402"/>
      <c r="CU34" s="402"/>
    </row>
    <row r="35" spans="2:104" ht="15" customHeight="1" x14ac:dyDescent="0.25">
      <c r="B35" s="403"/>
      <c r="C35" s="403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95"/>
      <c r="R35" s="95"/>
      <c r="T35" s="780">
        <v>5</v>
      </c>
      <c r="U35" s="300">
        <v>1</v>
      </c>
      <c r="V35" s="300">
        <v>7115</v>
      </c>
      <c r="W35" s="300" t="s">
        <v>12</v>
      </c>
      <c r="X35" s="342">
        <f>'Structural Information'!$AC$8</f>
        <v>4.5</v>
      </c>
      <c r="Y35" s="407">
        <f>2*(SUM('Structural Information'!$X$19:$X$20))*(200)/$X35</f>
        <v>107233.0292425316</v>
      </c>
      <c r="Z35" s="344" t="s">
        <v>83</v>
      </c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M35" s="273"/>
      <c r="AN35" s="273"/>
      <c r="AO35" s="273"/>
      <c r="AP35" s="273"/>
      <c r="AQ35" s="273"/>
      <c r="AR35" s="273"/>
      <c r="AS35" s="273"/>
      <c r="AT35" s="273"/>
      <c r="AU35" s="273"/>
      <c r="AV35" s="273"/>
      <c r="AW35" s="273"/>
      <c r="AX35" s="273"/>
      <c r="AY35" s="273"/>
      <c r="AZ35" s="273"/>
      <c r="BA35" s="273"/>
      <c r="BB35" s="273"/>
      <c r="BC35" s="273"/>
      <c r="BD35" s="273"/>
      <c r="BE35" s="273"/>
      <c r="BF35" s="273"/>
      <c r="BG35" s="273"/>
      <c r="BH35" s="273"/>
      <c r="BI35" s="273"/>
      <c r="BJ35" s="273"/>
      <c r="BK35" s="273"/>
      <c r="BW35" s="274"/>
      <c r="BX35" s="274"/>
      <c r="BY35" s="274"/>
      <c r="BZ35" s="274"/>
      <c r="CA35" s="274"/>
      <c r="CB35" s="274"/>
      <c r="CC35" s="274"/>
      <c r="CD35" s="274"/>
      <c r="CE35" s="274"/>
      <c r="CF35" s="274"/>
      <c r="CG35" s="274"/>
      <c r="CH35" s="274"/>
      <c r="CI35" s="274"/>
      <c r="CJ35" s="274"/>
      <c r="CL35" s="402"/>
      <c r="CM35" s="402"/>
      <c r="CN35" s="402"/>
      <c r="CO35" s="402"/>
      <c r="CP35" s="402"/>
      <c r="CQ35" s="402"/>
      <c r="CR35" s="402"/>
      <c r="CS35" s="402"/>
      <c r="CT35" s="402"/>
      <c r="CU35" s="402"/>
    </row>
    <row r="36" spans="2:104" ht="15" customHeight="1" x14ac:dyDescent="0.25">
      <c r="B36" s="403"/>
      <c r="C36" s="403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95"/>
      <c r="R36" s="95"/>
      <c r="T36" s="628"/>
      <c r="U36" s="69">
        <v>2</v>
      </c>
      <c r="V36" s="69">
        <v>7215</v>
      </c>
      <c r="W36" s="69" t="s">
        <v>12</v>
      </c>
      <c r="X36" s="409">
        <f>'Structural Information'!$AC$7</f>
        <v>2</v>
      </c>
      <c r="Y36" s="410">
        <f>2*(SUM('Structural Information'!$X$19:$X$20))*(200)/$X36</f>
        <v>241274.31579569611</v>
      </c>
      <c r="Z36" s="411" t="s">
        <v>83</v>
      </c>
      <c r="AA36" s="272"/>
      <c r="AB36" s="272"/>
      <c r="AC36" s="272"/>
      <c r="AD36" s="272"/>
      <c r="AE36" s="272"/>
      <c r="AF36" s="272"/>
      <c r="AG36" s="272"/>
      <c r="AH36" s="272"/>
      <c r="AI36" s="272"/>
      <c r="AJ36" s="272"/>
      <c r="AK36" s="272"/>
      <c r="AM36" s="273"/>
      <c r="AN36" s="273"/>
      <c r="AO36" s="273"/>
      <c r="AP36" s="273"/>
      <c r="AQ36" s="273"/>
      <c r="AR36" s="273"/>
      <c r="AS36" s="273"/>
      <c r="AT36" s="273"/>
      <c r="AU36" s="273"/>
      <c r="AV36" s="273"/>
      <c r="AW36" s="273"/>
      <c r="AX36" s="273"/>
      <c r="AY36" s="273"/>
      <c r="AZ36" s="273"/>
      <c r="BA36" s="273"/>
      <c r="BB36" s="273"/>
      <c r="BC36" s="273"/>
      <c r="BD36" s="273"/>
      <c r="BE36" s="273"/>
      <c r="BF36" s="273"/>
      <c r="BG36" s="273"/>
      <c r="BH36" s="273"/>
      <c r="BI36" s="273"/>
      <c r="BJ36" s="273"/>
      <c r="BK36" s="273"/>
      <c r="BW36" s="274"/>
      <c r="BX36" s="274"/>
      <c r="BY36" s="274"/>
      <c r="BZ36" s="274"/>
      <c r="CA36" s="274"/>
      <c r="CB36" s="274"/>
      <c r="CC36" s="274"/>
      <c r="CD36" s="274"/>
      <c r="CE36" s="274"/>
      <c r="CF36" s="274"/>
      <c r="CG36" s="274"/>
      <c r="CH36" s="274"/>
      <c r="CI36" s="274"/>
      <c r="CJ36" s="274"/>
      <c r="CL36" s="402"/>
      <c r="CM36" s="402"/>
      <c r="CN36" s="402"/>
      <c r="CO36" s="402"/>
      <c r="CP36" s="402"/>
      <c r="CQ36" s="402"/>
      <c r="CR36" s="402"/>
      <c r="CS36" s="402"/>
      <c r="CT36" s="402"/>
      <c r="CU36" s="402"/>
    </row>
    <row r="37" spans="2:104" ht="15" customHeight="1" thickBot="1" x14ac:dyDescent="0.3">
      <c r="B37" s="403"/>
      <c r="C37" s="403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95"/>
      <c r="R37" s="95"/>
      <c r="T37" s="781"/>
      <c r="U37" s="321">
        <v>3</v>
      </c>
      <c r="V37" s="321">
        <v>7315</v>
      </c>
      <c r="W37" s="321" t="s">
        <v>12</v>
      </c>
      <c r="X37" s="308">
        <f>'Structural Information'!$AC$6</f>
        <v>4.5</v>
      </c>
      <c r="Y37" s="413">
        <f>2*(SUM('Structural Information'!$X$19:$X$20))*(200)/$X37</f>
        <v>107233.0292425316</v>
      </c>
      <c r="Z37" s="310" t="s">
        <v>83</v>
      </c>
      <c r="AA37" s="272"/>
      <c r="AB37" s="272"/>
      <c r="AC37" s="272"/>
      <c r="AD37" s="272"/>
      <c r="AE37" s="272"/>
      <c r="AF37" s="272"/>
      <c r="AG37" s="272"/>
      <c r="AH37" s="272"/>
      <c r="AI37" s="272"/>
      <c r="AJ37" s="272"/>
      <c r="AK37" s="272"/>
      <c r="AM37" s="273"/>
      <c r="AN37" s="273"/>
      <c r="AO37" s="273"/>
      <c r="AP37" s="273"/>
      <c r="AQ37" s="273"/>
      <c r="AR37" s="273"/>
      <c r="AS37" s="273"/>
      <c r="AT37" s="273"/>
      <c r="AU37" s="273"/>
      <c r="AV37" s="273"/>
      <c r="AW37" s="273"/>
      <c r="AX37" s="273"/>
      <c r="AY37" s="273"/>
      <c r="AZ37" s="273"/>
      <c r="BA37" s="273"/>
      <c r="BB37" s="273"/>
      <c r="BC37" s="273"/>
      <c r="BD37" s="273"/>
      <c r="BE37" s="273"/>
      <c r="BF37" s="273"/>
      <c r="BG37" s="273"/>
      <c r="BH37" s="273"/>
      <c r="BI37" s="273"/>
      <c r="BJ37" s="273"/>
      <c r="BK37" s="273"/>
      <c r="BW37" s="274"/>
      <c r="BX37" s="274"/>
      <c r="BY37" s="274"/>
      <c r="BZ37" s="274"/>
      <c r="CA37" s="274"/>
      <c r="CB37" s="274"/>
      <c r="CC37" s="274"/>
      <c r="CD37" s="274"/>
      <c r="CE37" s="274"/>
      <c r="CF37" s="274"/>
      <c r="CG37" s="274"/>
      <c r="CH37" s="274"/>
      <c r="CI37" s="274"/>
      <c r="CJ37" s="274"/>
      <c r="CL37" s="415"/>
      <c r="CM37" s="415"/>
      <c r="CN37" s="415"/>
      <c r="CO37" s="415"/>
      <c r="CP37" s="415"/>
      <c r="CQ37" s="415"/>
      <c r="CR37" s="415"/>
      <c r="CS37" s="415"/>
      <c r="CT37" s="415"/>
      <c r="CU37" s="415"/>
      <c r="CV37" s="415"/>
      <c r="CW37" s="58"/>
      <c r="CX37" s="58"/>
      <c r="CY37" s="58"/>
      <c r="CZ37" s="58"/>
    </row>
    <row r="38" spans="2:104" ht="15.75" customHeight="1" x14ac:dyDescent="0.25">
      <c r="B38" s="403"/>
      <c r="C38" s="403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95"/>
      <c r="R38" s="95"/>
      <c r="T38" s="782">
        <v>4</v>
      </c>
      <c r="U38" s="303">
        <v>1</v>
      </c>
      <c r="V38" s="303">
        <v>7114</v>
      </c>
      <c r="W38" s="303" t="s">
        <v>12</v>
      </c>
      <c r="X38" s="406">
        <f>'Structural Information'!$AC$8</f>
        <v>4.5</v>
      </c>
      <c r="Y38" s="407">
        <f>2*(SUM('Structural Information'!$X$19:$X$20))*(200)/$X38</f>
        <v>107233.0292425316</v>
      </c>
      <c r="Z38" s="408" t="s">
        <v>83</v>
      </c>
      <c r="AA38" s="272"/>
      <c r="AB38" s="272"/>
      <c r="AC38" s="272"/>
      <c r="AD38" s="272"/>
      <c r="AE38" s="272"/>
      <c r="AF38" s="272"/>
      <c r="AG38" s="272"/>
      <c r="AH38" s="272"/>
      <c r="AI38" s="272"/>
      <c r="AJ38" s="272"/>
      <c r="AK38" s="272"/>
      <c r="AM38" s="273"/>
      <c r="AN38" s="273"/>
      <c r="AO38" s="273"/>
      <c r="AP38" s="273"/>
      <c r="AQ38" s="273"/>
      <c r="AR38" s="273"/>
      <c r="AS38" s="273"/>
      <c r="AT38" s="273"/>
      <c r="AU38" s="273"/>
      <c r="AV38" s="273"/>
      <c r="AW38" s="273"/>
      <c r="AX38" s="273"/>
      <c r="AY38" s="273"/>
      <c r="AZ38" s="273"/>
      <c r="BA38" s="273"/>
      <c r="BB38" s="273"/>
      <c r="BC38" s="273"/>
      <c r="BD38" s="273"/>
      <c r="BE38" s="273"/>
      <c r="BF38" s="273"/>
      <c r="BG38" s="273"/>
      <c r="BH38" s="273"/>
      <c r="BI38" s="273"/>
      <c r="BJ38" s="273"/>
      <c r="BK38" s="273"/>
      <c r="BW38" s="274"/>
      <c r="BX38" s="274"/>
      <c r="BY38" s="274"/>
      <c r="BZ38" s="274"/>
      <c r="CA38" s="274"/>
      <c r="CB38" s="274"/>
      <c r="CC38" s="274"/>
      <c r="CD38" s="274"/>
      <c r="CE38" s="274"/>
      <c r="CF38" s="274"/>
      <c r="CG38" s="274"/>
      <c r="CH38" s="274"/>
      <c r="CI38" s="274"/>
      <c r="CJ38" s="274"/>
      <c r="CL38" s="415"/>
      <c r="CM38" s="415"/>
      <c r="CN38" s="415"/>
      <c r="CO38" s="415"/>
      <c r="CP38" s="415"/>
      <c r="CQ38" s="415"/>
      <c r="CR38" s="415"/>
      <c r="CS38" s="415"/>
      <c r="CT38" s="415"/>
      <c r="CU38" s="415"/>
      <c r="CV38" s="415"/>
      <c r="CW38" s="58"/>
      <c r="CX38" s="58"/>
      <c r="CY38" s="58"/>
      <c r="CZ38" s="58"/>
    </row>
    <row r="39" spans="2:104" ht="15.75" customHeight="1" x14ac:dyDescent="0.25">
      <c r="B39" s="403"/>
      <c r="C39" s="403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95"/>
      <c r="R39" s="95"/>
      <c r="T39" s="628"/>
      <c r="U39" s="69">
        <v>2</v>
      </c>
      <c r="V39" s="69">
        <v>7214</v>
      </c>
      <c r="W39" s="69" t="s">
        <v>12</v>
      </c>
      <c r="X39" s="409">
        <f>'Structural Information'!$AC$7</f>
        <v>2</v>
      </c>
      <c r="Y39" s="410">
        <f>2*(SUM('Structural Information'!$X$19:$X$20))*(200)/$X39</f>
        <v>241274.31579569611</v>
      </c>
      <c r="Z39" s="411" t="s">
        <v>83</v>
      </c>
      <c r="AA39" s="272"/>
      <c r="AB39" s="272"/>
      <c r="AC39" s="272"/>
      <c r="AD39" s="272"/>
      <c r="AE39" s="272"/>
      <c r="AF39" s="272"/>
      <c r="AG39" s="272"/>
      <c r="AH39" s="272"/>
      <c r="AI39" s="272"/>
      <c r="AJ39" s="272"/>
      <c r="AK39" s="272"/>
      <c r="AM39" s="273"/>
      <c r="AN39" s="273"/>
      <c r="AO39" s="273"/>
      <c r="AP39" s="273"/>
      <c r="AQ39" s="273"/>
      <c r="AR39" s="273"/>
      <c r="AS39" s="273"/>
      <c r="AT39" s="273"/>
      <c r="AU39" s="273"/>
      <c r="AV39" s="273"/>
      <c r="AW39" s="273"/>
      <c r="AX39" s="273"/>
      <c r="AY39" s="273"/>
      <c r="AZ39" s="273"/>
      <c r="BA39" s="273"/>
      <c r="BB39" s="273"/>
      <c r="BC39" s="273"/>
      <c r="BD39" s="273"/>
      <c r="BE39" s="273"/>
      <c r="BF39" s="273"/>
      <c r="BG39" s="273"/>
      <c r="BH39" s="273"/>
      <c r="BI39" s="273"/>
      <c r="BJ39" s="273"/>
      <c r="BK39" s="273"/>
      <c r="BW39" s="274"/>
      <c r="BX39" s="274"/>
      <c r="BY39" s="274"/>
      <c r="BZ39" s="274"/>
      <c r="CA39" s="274"/>
      <c r="CB39" s="274"/>
      <c r="CC39" s="274"/>
      <c r="CD39" s="274"/>
      <c r="CE39" s="274"/>
      <c r="CF39" s="274"/>
      <c r="CG39" s="274"/>
      <c r="CH39" s="274"/>
      <c r="CI39" s="274"/>
      <c r="CJ39" s="274"/>
      <c r="CL39" s="275"/>
      <c r="CM39" s="275"/>
      <c r="CN39" s="275"/>
      <c r="CO39" s="275"/>
      <c r="CP39" s="275"/>
      <c r="CQ39" s="275"/>
      <c r="CR39" s="275"/>
      <c r="CS39" s="275"/>
      <c r="CT39" s="275"/>
      <c r="CU39" s="275"/>
      <c r="CV39" s="275"/>
      <c r="CW39" s="275"/>
      <c r="CX39" s="275"/>
      <c r="CY39" s="275"/>
      <c r="CZ39" s="275"/>
    </row>
    <row r="40" spans="2:104" ht="15" customHeight="1" thickBot="1" x14ac:dyDescent="0.3">
      <c r="B40" s="403"/>
      <c r="C40" s="403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95"/>
      <c r="R40" s="95"/>
      <c r="T40" s="783"/>
      <c r="U40" s="336">
        <v>3</v>
      </c>
      <c r="V40" s="336">
        <v>7314</v>
      </c>
      <c r="W40" s="336" t="s">
        <v>12</v>
      </c>
      <c r="X40" s="412">
        <f>'Structural Information'!$AC$6</f>
        <v>4.5</v>
      </c>
      <c r="Y40" s="413">
        <f>2*(SUM('Structural Information'!$X$19:$X$20))*(200)/$X40</f>
        <v>107233.0292425316</v>
      </c>
      <c r="Z40" s="414" t="s">
        <v>83</v>
      </c>
      <c r="AA40" s="272"/>
      <c r="AB40" s="272"/>
      <c r="AC40" s="272"/>
      <c r="AD40" s="272"/>
      <c r="AE40" s="272"/>
      <c r="AF40" s="272"/>
      <c r="AG40" s="272"/>
      <c r="AH40" s="272"/>
      <c r="AI40" s="272"/>
      <c r="AJ40" s="272"/>
      <c r="AK40" s="272"/>
      <c r="AM40" s="273"/>
      <c r="AN40" s="273"/>
      <c r="AO40" s="273"/>
      <c r="AP40" s="273"/>
      <c r="AQ40" s="273"/>
      <c r="AR40" s="273"/>
      <c r="AS40" s="273"/>
      <c r="AT40" s="273"/>
      <c r="AU40" s="273"/>
      <c r="AV40" s="273"/>
      <c r="AW40" s="273"/>
      <c r="AX40" s="273"/>
      <c r="AY40" s="273"/>
      <c r="AZ40" s="273"/>
      <c r="BA40" s="273"/>
      <c r="BB40" s="273"/>
      <c r="BC40" s="273"/>
      <c r="BD40" s="273"/>
      <c r="BE40" s="273"/>
      <c r="BF40" s="273"/>
      <c r="BG40" s="273"/>
      <c r="BH40" s="273"/>
      <c r="BI40" s="273"/>
      <c r="BJ40" s="273"/>
      <c r="BK40" s="273"/>
      <c r="BW40" s="274"/>
      <c r="BX40" s="274"/>
      <c r="BY40" s="274"/>
      <c r="BZ40" s="274"/>
      <c r="CA40" s="274"/>
      <c r="CB40" s="274"/>
      <c r="CC40" s="274"/>
      <c r="CD40" s="274"/>
      <c r="CE40" s="274"/>
      <c r="CF40" s="274"/>
      <c r="CG40" s="274"/>
      <c r="CH40" s="274"/>
      <c r="CI40" s="274"/>
      <c r="CJ40" s="274"/>
      <c r="CL40" s="275"/>
      <c r="CM40" s="275"/>
      <c r="CN40" s="275"/>
      <c r="CO40" s="275"/>
      <c r="CP40" s="275"/>
      <c r="CQ40" s="275"/>
      <c r="CR40" s="275"/>
      <c r="CS40" s="275"/>
      <c r="CT40" s="275"/>
      <c r="CU40" s="275"/>
      <c r="CV40" s="275"/>
      <c r="CW40" s="275"/>
      <c r="CX40" s="275"/>
      <c r="CY40" s="275"/>
      <c r="CZ40" s="275"/>
    </row>
    <row r="41" spans="2:104" ht="15" customHeight="1" x14ac:dyDescent="0.25">
      <c r="B41" s="403"/>
      <c r="C41" s="403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95"/>
      <c r="R41" s="95"/>
      <c r="T41" s="780">
        <v>3</v>
      </c>
      <c r="U41" s="300">
        <v>1</v>
      </c>
      <c r="V41" s="300">
        <v>7113</v>
      </c>
      <c r="W41" s="300" t="s">
        <v>12</v>
      </c>
      <c r="X41" s="342">
        <f>'Structural Information'!$AC$8</f>
        <v>4.5</v>
      </c>
      <c r="Y41" s="407">
        <f>2*(SUM('Structural Information'!$X$19:$X$20))*(200)/$X41</f>
        <v>107233.0292425316</v>
      </c>
      <c r="Z41" s="344" t="s">
        <v>83</v>
      </c>
      <c r="AA41" s="272"/>
      <c r="AB41" s="272"/>
      <c r="AC41" s="272"/>
      <c r="AD41" s="272"/>
      <c r="AE41" s="272"/>
      <c r="AF41" s="272"/>
      <c r="AG41" s="272"/>
      <c r="AH41" s="272"/>
      <c r="AI41" s="272"/>
      <c r="AJ41" s="272"/>
      <c r="AK41" s="272"/>
      <c r="AM41" s="273"/>
      <c r="AN41" s="273"/>
      <c r="AO41" s="273"/>
      <c r="AP41" s="273"/>
      <c r="AQ41" s="273"/>
      <c r="AR41" s="273"/>
      <c r="AS41" s="273"/>
      <c r="AT41" s="273"/>
      <c r="AU41" s="273"/>
      <c r="AV41" s="273"/>
      <c r="AW41" s="273"/>
      <c r="AX41" s="273"/>
      <c r="AY41" s="273"/>
      <c r="AZ41" s="273"/>
      <c r="BA41" s="273"/>
      <c r="BB41" s="273"/>
      <c r="BC41" s="273"/>
      <c r="BD41" s="273"/>
      <c r="BE41" s="273"/>
      <c r="BF41" s="273"/>
      <c r="BG41" s="273"/>
      <c r="BH41" s="273"/>
      <c r="BI41" s="273"/>
      <c r="BJ41" s="273"/>
      <c r="BK41" s="273"/>
      <c r="BW41" s="274"/>
      <c r="BX41" s="274"/>
      <c r="BY41" s="274"/>
      <c r="BZ41" s="274"/>
      <c r="CA41" s="274"/>
      <c r="CB41" s="274"/>
      <c r="CC41" s="274"/>
      <c r="CD41" s="274"/>
      <c r="CE41" s="274"/>
      <c r="CF41" s="274"/>
      <c r="CG41" s="274"/>
      <c r="CH41" s="274"/>
      <c r="CI41" s="274"/>
      <c r="CJ41" s="274"/>
      <c r="CL41" s="275"/>
      <c r="CM41" s="275"/>
      <c r="CN41" s="275"/>
      <c r="CO41" s="275"/>
      <c r="CP41" s="275"/>
      <c r="CQ41" s="275"/>
      <c r="CR41" s="275"/>
      <c r="CS41" s="275"/>
      <c r="CT41" s="275"/>
      <c r="CU41" s="275"/>
      <c r="CV41" s="275"/>
      <c r="CW41" s="275"/>
      <c r="CX41" s="275"/>
      <c r="CY41" s="275"/>
      <c r="CZ41" s="275"/>
    </row>
    <row r="42" spans="2:104" ht="15" customHeight="1" x14ac:dyDescent="0.25">
      <c r="B42" s="403"/>
      <c r="C42" s="403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95"/>
      <c r="R42" s="95"/>
      <c r="T42" s="628"/>
      <c r="U42" s="69">
        <v>2</v>
      </c>
      <c r="V42" s="69">
        <v>7213</v>
      </c>
      <c r="W42" s="69" t="s">
        <v>12</v>
      </c>
      <c r="X42" s="409">
        <f>'Structural Information'!$AC$7</f>
        <v>2</v>
      </c>
      <c r="Y42" s="410">
        <f>2*(SUM('Structural Information'!$X$19:$X$20))*(200)/$X42</f>
        <v>241274.31579569611</v>
      </c>
      <c r="Z42" s="411" t="s">
        <v>83</v>
      </c>
      <c r="AA42" s="272"/>
      <c r="AB42" s="272"/>
      <c r="AC42" s="272"/>
      <c r="AD42" s="272"/>
      <c r="AE42" s="272"/>
      <c r="AF42" s="272"/>
      <c r="AG42" s="272"/>
      <c r="AH42" s="272"/>
      <c r="AI42" s="272"/>
      <c r="AJ42" s="272"/>
      <c r="AK42" s="272"/>
      <c r="AM42" s="273"/>
      <c r="AN42" s="273"/>
      <c r="AO42" s="273"/>
      <c r="AP42" s="273"/>
      <c r="AQ42" s="273"/>
      <c r="AR42" s="273"/>
      <c r="AS42" s="273"/>
      <c r="AT42" s="273"/>
      <c r="AU42" s="273"/>
      <c r="AV42" s="273"/>
      <c r="AW42" s="273"/>
      <c r="AX42" s="273"/>
      <c r="AY42" s="273"/>
      <c r="AZ42" s="273"/>
      <c r="BA42" s="273"/>
      <c r="BB42" s="273"/>
      <c r="BC42" s="273"/>
      <c r="BD42" s="273"/>
      <c r="BE42" s="273"/>
      <c r="BF42" s="273"/>
      <c r="BG42" s="273"/>
      <c r="BH42" s="273"/>
      <c r="BI42" s="273"/>
      <c r="BJ42" s="273"/>
      <c r="BK42" s="273"/>
      <c r="BW42" s="274"/>
      <c r="BX42" s="274"/>
      <c r="BY42" s="274"/>
      <c r="BZ42" s="274"/>
      <c r="CA42" s="274"/>
      <c r="CB42" s="274"/>
      <c r="CC42" s="274"/>
      <c r="CD42" s="274"/>
      <c r="CE42" s="274"/>
      <c r="CF42" s="274"/>
      <c r="CG42" s="274"/>
      <c r="CH42" s="274"/>
      <c r="CI42" s="274"/>
      <c r="CJ42" s="274"/>
      <c r="CL42" s="275"/>
      <c r="CM42" s="275"/>
      <c r="CN42" s="275"/>
      <c r="CO42" s="275"/>
      <c r="CP42" s="275"/>
      <c r="CQ42" s="275"/>
      <c r="CR42" s="275"/>
      <c r="CS42" s="275"/>
      <c r="CT42" s="275"/>
      <c r="CU42" s="275"/>
      <c r="CV42" s="275"/>
      <c r="CW42" s="275"/>
      <c r="CX42" s="275"/>
      <c r="CY42" s="275"/>
      <c r="CZ42" s="275"/>
    </row>
    <row r="43" spans="2:104" ht="15" customHeight="1" thickBot="1" x14ac:dyDescent="0.3">
      <c r="B43" s="403"/>
      <c r="C43" s="403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95"/>
      <c r="R43" s="95"/>
      <c r="T43" s="781"/>
      <c r="U43" s="321">
        <v>3</v>
      </c>
      <c r="V43" s="321">
        <v>7313</v>
      </c>
      <c r="W43" s="321" t="s">
        <v>12</v>
      </c>
      <c r="X43" s="308">
        <f>'Structural Information'!$AC$6</f>
        <v>4.5</v>
      </c>
      <c r="Y43" s="413">
        <f>2*(SUM('Structural Information'!$X$19:$X$20))*(200)/$X43</f>
        <v>107233.0292425316</v>
      </c>
      <c r="Z43" s="310" t="s">
        <v>83</v>
      </c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M43" s="273"/>
      <c r="AN43" s="273"/>
      <c r="AO43" s="273"/>
      <c r="AP43" s="273"/>
      <c r="AQ43" s="273"/>
      <c r="AR43" s="273"/>
      <c r="AS43" s="273"/>
      <c r="AT43" s="273"/>
      <c r="AU43" s="273"/>
      <c r="AV43" s="273"/>
      <c r="AW43" s="273"/>
      <c r="AX43" s="273"/>
      <c r="AY43" s="273"/>
      <c r="AZ43" s="273"/>
      <c r="BA43" s="273"/>
      <c r="BB43" s="273"/>
      <c r="BC43" s="273"/>
      <c r="BD43" s="273"/>
      <c r="BE43" s="273"/>
      <c r="BF43" s="273"/>
      <c r="BG43" s="273"/>
      <c r="BH43" s="273"/>
      <c r="BI43" s="273"/>
      <c r="BJ43" s="273"/>
      <c r="BK43" s="273"/>
      <c r="BW43" s="274"/>
      <c r="BX43" s="274"/>
      <c r="BY43" s="274"/>
      <c r="BZ43" s="274"/>
      <c r="CA43" s="274"/>
      <c r="CB43" s="274"/>
      <c r="CC43" s="274"/>
      <c r="CD43" s="274"/>
      <c r="CE43" s="274"/>
      <c r="CF43" s="274"/>
      <c r="CG43" s="274"/>
      <c r="CH43" s="274"/>
      <c r="CI43" s="274"/>
      <c r="CJ43" s="274"/>
      <c r="CL43" s="275"/>
      <c r="CM43" s="275"/>
      <c r="CN43" s="275"/>
      <c r="CO43" s="275"/>
      <c r="CP43" s="275"/>
      <c r="CQ43" s="275"/>
      <c r="CR43" s="275"/>
      <c r="CS43" s="275"/>
      <c r="CT43" s="275"/>
      <c r="CU43" s="275"/>
      <c r="CV43" s="275"/>
      <c r="CW43" s="275"/>
      <c r="CX43" s="275"/>
      <c r="CY43" s="275"/>
      <c r="CZ43" s="275"/>
    </row>
    <row r="44" spans="2:104" ht="15" customHeight="1" x14ac:dyDescent="0.25">
      <c r="B44" s="403"/>
      <c r="C44" s="403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95"/>
      <c r="R44" s="95"/>
      <c r="T44" s="782">
        <v>2</v>
      </c>
      <c r="U44" s="303">
        <v>1</v>
      </c>
      <c r="V44" s="303">
        <v>7112</v>
      </c>
      <c r="W44" s="303" t="s">
        <v>12</v>
      </c>
      <c r="X44" s="406">
        <f>'Structural Information'!$AC$8</f>
        <v>4.5</v>
      </c>
      <c r="Y44" s="407">
        <f>2*(SUM('Structural Information'!$X$19:$X$20))*(200)/$X44</f>
        <v>107233.0292425316</v>
      </c>
      <c r="Z44" s="408" t="s">
        <v>83</v>
      </c>
      <c r="AA44" s="272"/>
      <c r="AB44" s="272"/>
      <c r="AC44" s="272"/>
      <c r="AD44" s="272"/>
      <c r="AE44" s="272"/>
      <c r="AF44" s="272"/>
      <c r="AG44" s="272"/>
      <c r="AH44" s="272"/>
      <c r="AI44" s="272"/>
      <c r="AJ44" s="272"/>
      <c r="AK44" s="272"/>
      <c r="AM44" s="273"/>
      <c r="AN44" s="273"/>
      <c r="AO44" s="273"/>
      <c r="AP44" s="273"/>
      <c r="AQ44" s="273"/>
      <c r="AR44" s="273"/>
      <c r="AS44" s="273"/>
      <c r="AT44" s="273"/>
      <c r="AU44" s="273"/>
      <c r="AV44" s="273"/>
      <c r="AW44" s="273"/>
      <c r="AX44" s="273"/>
      <c r="AY44" s="273"/>
      <c r="AZ44" s="273"/>
      <c r="BA44" s="273"/>
      <c r="BB44" s="273"/>
      <c r="BC44" s="273"/>
      <c r="BD44" s="273"/>
      <c r="BE44" s="273"/>
      <c r="BF44" s="273"/>
      <c r="BG44" s="273"/>
      <c r="BH44" s="273"/>
      <c r="BI44" s="273"/>
      <c r="BJ44" s="273"/>
      <c r="BK44" s="273"/>
      <c r="BW44" s="274"/>
      <c r="BX44" s="274"/>
      <c r="BY44" s="274"/>
      <c r="BZ44" s="274"/>
      <c r="CA44" s="274"/>
      <c r="CB44" s="274"/>
      <c r="CC44" s="274"/>
      <c r="CD44" s="274"/>
      <c r="CE44" s="274"/>
      <c r="CF44" s="274"/>
      <c r="CG44" s="274"/>
      <c r="CH44" s="274"/>
      <c r="CI44" s="274"/>
      <c r="CJ44" s="274"/>
      <c r="CL44" s="275"/>
      <c r="CM44" s="275"/>
      <c r="CN44" s="275"/>
      <c r="CO44" s="275"/>
      <c r="CP44" s="275"/>
      <c r="CQ44" s="275"/>
      <c r="CR44" s="275"/>
      <c r="CS44" s="275"/>
      <c r="CT44" s="275"/>
      <c r="CU44" s="275"/>
      <c r="CV44" s="275"/>
      <c r="CW44" s="275"/>
      <c r="CX44" s="275"/>
      <c r="CY44" s="275"/>
      <c r="CZ44" s="275"/>
    </row>
    <row r="45" spans="2:104" ht="15" customHeight="1" x14ac:dyDescent="0.25">
      <c r="B45" s="403"/>
      <c r="C45" s="403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95"/>
      <c r="R45" s="95"/>
      <c r="T45" s="628"/>
      <c r="U45" s="69">
        <v>2</v>
      </c>
      <c r="V45" s="69">
        <v>7212</v>
      </c>
      <c r="W45" s="69" t="s">
        <v>12</v>
      </c>
      <c r="X45" s="409">
        <f>'Structural Information'!$AC$7</f>
        <v>2</v>
      </c>
      <c r="Y45" s="410">
        <f>2*(SUM('Structural Information'!$X$19:$X$20))*(200)/$X45</f>
        <v>241274.31579569611</v>
      </c>
      <c r="Z45" s="411" t="s">
        <v>83</v>
      </c>
      <c r="AA45" s="272"/>
      <c r="AB45" s="272"/>
      <c r="AC45" s="272"/>
      <c r="AD45" s="272"/>
      <c r="AE45" s="272"/>
      <c r="AF45" s="272"/>
      <c r="AG45" s="272"/>
      <c r="AH45" s="272"/>
      <c r="AI45" s="272"/>
      <c r="AJ45" s="272"/>
      <c r="AK45" s="272"/>
      <c r="AM45" s="273"/>
      <c r="AN45" s="273"/>
      <c r="AO45" s="273"/>
      <c r="AP45" s="273"/>
      <c r="AQ45" s="273"/>
      <c r="AR45" s="273"/>
      <c r="AS45" s="273"/>
      <c r="AT45" s="273"/>
      <c r="AU45" s="273"/>
      <c r="AV45" s="273"/>
      <c r="AW45" s="273"/>
      <c r="AX45" s="273"/>
      <c r="AY45" s="273"/>
      <c r="AZ45" s="273"/>
      <c r="BA45" s="273"/>
      <c r="BB45" s="273"/>
      <c r="BC45" s="273"/>
      <c r="BD45" s="273"/>
      <c r="BE45" s="273"/>
      <c r="BF45" s="273"/>
      <c r="BG45" s="273"/>
      <c r="BH45" s="273"/>
      <c r="BI45" s="273"/>
      <c r="BJ45" s="273"/>
      <c r="BK45" s="273"/>
      <c r="BW45" s="274"/>
      <c r="BX45" s="274"/>
      <c r="BY45" s="274"/>
      <c r="BZ45" s="274"/>
      <c r="CA45" s="274"/>
      <c r="CB45" s="274"/>
      <c r="CC45" s="274"/>
      <c r="CD45" s="274"/>
      <c r="CE45" s="274"/>
      <c r="CF45" s="274"/>
      <c r="CG45" s="274"/>
      <c r="CH45" s="274"/>
      <c r="CI45" s="274"/>
      <c r="CJ45" s="274"/>
      <c r="CL45" s="275"/>
      <c r="CM45" s="275"/>
      <c r="CN45" s="275"/>
      <c r="CO45" s="275"/>
      <c r="CP45" s="275"/>
      <c r="CQ45" s="275"/>
      <c r="CR45" s="275"/>
      <c r="CS45" s="275"/>
      <c r="CT45" s="275"/>
      <c r="CU45" s="275"/>
      <c r="CV45" s="275"/>
      <c r="CW45" s="275"/>
      <c r="CX45" s="275"/>
      <c r="CY45" s="275"/>
      <c r="CZ45" s="275"/>
    </row>
    <row r="46" spans="2:104" ht="15.75" customHeight="1" thickBot="1" x14ac:dyDescent="0.3">
      <c r="B46" s="403"/>
      <c r="C46" s="403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95"/>
      <c r="R46" s="95"/>
      <c r="T46" s="783"/>
      <c r="U46" s="336">
        <v>3</v>
      </c>
      <c r="V46" s="336">
        <v>7312</v>
      </c>
      <c r="W46" s="336" t="s">
        <v>12</v>
      </c>
      <c r="X46" s="412">
        <f>'Structural Information'!$AC$6</f>
        <v>4.5</v>
      </c>
      <c r="Y46" s="413">
        <f>2*(SUM('Structural Information'!$X$19:$X$20))*(200)/$X46</f>
        <v>107233.0292425316</v>
      </c>
      <c r="Z46" s="414" t="s">
        <v>83</v>
      </c>
      <c r="AA46" s="272"/>
      <c r="AB46" s="272"/>
      <c r="AC46" s="272"/>
      <c r="AD46" s="272"/>
      <c r="AE46" s="272"/>
      <c r="AF46" s="272"/>
      <c r="AG46" s="272"/>
      <c r="AH46" s="272"/>
      <c r="AI46" s="272"/>
      <c r="AJ46" s="272"/>
      <c r="AK46" s="272"/>
      <c r="AM46" s="273"/>
      <c r="AN46" s="273"/>
      <c r="AO46" s="273"/>
      <c r="AP46" s="273"/>
      <c r="AQ46" s="273"/>
      <c r="AR46" s="273"/>
      <c r="AS46" s="273"/>
      <c r="AT46" s="273"/>
      <c r="AU46" s="273"/>
      <c r="AV46" s="273"/>
      <c r="AW46" s="273"/>
      <c r="AX46" s="273"/>
      <c r="AY46" s="273"/>
      <c r="AZ46" s="273"/>
      <c r="BA46" s="273"/>
      <c r="BB46" s="273"/>
      <c r="BC46" s="273"/>
      <c r="BD46" s="273"/>
      <c r="BE46" s="273"/>
      <c r="BF46" s="273"/>
      <c r="BG46" s="273"/>
      <c r="BH46" s="273"/>
      <c r="BI46" s="273"/>
      <c r="BJ46" s="273"/>
      <c r="BK46" s="273"/>
      <c r="BW46" s="274"/>
      <c r="BX46" s="274"/>
      <c r="BY46" s="274"/>
      <c r="BZ46" s="274"/>
      <c r="CA46" s="274"/>
      <c r="CB46" s="274"/>
      <c r="CC46" s="274"/>
      <c r="CD46" s="274"/>
      <c r="CE46" s="274"/>
      <c r="CF46" s="274"/>
      <c r="CG46" s="274"/>
      <c r="CH46" s="274"/>
      <c r="CI46" s="274"/>
      <c r="CJ46" s="274"/>
      <c r="CL46" s="275"/>
      <c r="CM46" s="275"/>
      <c r="CN46" s="275"/>
      <c r="CO46" s="275"/>
      <c r="CP46" s="275"/>
      <c r="CQ46" s="275"/>
      <c r="CR46" s="275"/>
      <c r="CS46" s="275"/>
      <c r="CT46" s="275"/>
      <c r="CU46" s="275"/>
      <c r="CV46" s="275"/>
      <c r="CW46" s="275"/>
      <c r="CX46" s="275"/>
      <c r="CY46" s="275"/>
      <c r="CZ46" s="275"/>
    </row>
    <row r="47" spans="2:104" ht="15.75" customHeight="1" x14ac:dyDescent="0.25">
      <c r="B47" s="403"/>
      <c r="C47" s="403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95"/>
      <c r="R47" s="95"/>
      <c r="T47" s="780">
        <v>1</v>
      </c>
      <c r="U47" s="300">
        <v>1</v>
      </c>
      <c r="V47" s="303">
        <v>7111</v>
      </c>
      <c r="W47" s="303" t="s">
        <v>12</v>
      </c>
      <c r="X47" s="342">
        <f>'Structural Information'!$AC$8</f>
        <v>4.5</v>
      </c>
      <c r="Y47" s="407">
        <f>2*(SUM('Structural Information'!$X$19:$X$20))*(200)/$X47</f>
        <v>107233.0292425316</v>
      </c>
      <c r="Z47" s="408" t="s">
        <v>83</v>
      </c>
      <c r="AA47" s="272"/>
      <c r="AB47" s="272"/>
      <c r="AC47" s="272"/>
      <c r="AD47" s="272"/>
      <c r="AE47" s="272"/>
      <c r="AF47" s="272"/>
      <c r="AG47" s="272"/>
      <c r="AH47" s="272"/>
      <c r="AI47" s="272"/>
      <c r="AJ47" s="272"/>
      <c r="AK47" s="272"/>
      <c r="AM47" s="273"/>
      <c r="AN47" s="273"/>
      <c r="AO47" s="273"/>
      <c r="AP47" s="273"/>
      <c r="AQ47" s="273"/>
      <c r="AR47" s="273"/>
      <c r="AS47" s="273"/>
      <c r="AT47" s="273"/>
      <c r="AU47" s="273"/>
      <c r="AV47" s="273"/>
      <c r="AW47" s="273"/>
      <c r="AX47" s="273"/>
      <c r="AY47" s="273"/>
      <c r="AZ47" s="273"/>
      <c r="BA47" s="273"/>
      <c r="BB47" s="273"/>
      <c r="BC47" s="273"/>
      <c r="BD47" s="273"/>
      <c r="BE47" s="273"/>
      <c r="BF47" s="273"/>
      <c r="BG47" s="273"/>
      <c r="BH47" s="273"/>
      <c r="BI47" s="273"/>
      <c r="BJ47" s="273"/>
      <c r="BK47" s="273"/>
      <c r="BW47" s="274"/>
      <c r="BX47" s="274"/>
      <c r="BY47" s="274"/>
      <c r="BZ47" s="274"/>
      <c r="CA47" s="274"/>
      <c r="CB47" s="274"/>
      <c r="CC47" s="274"/>
      <c r="CD47" s="274"/>
      <c r="CE47" s="274"/>
      <c r="CF47" s="274"/>
      <c r="CG47" s="274"/>
      <c r="CH47" s="274"/>
      <c r="CI47" s="274"/>
      <c r="CJ47" s="274"/>
      <c r="CL47" s="275"/>
      <c r="CM47" s="275"/>
      <c r="CN47" s="275"/>
      <c r="CO47" s="275"/>
      <c r="CP47" s="275"/>
      <c r="CQ47" s="275"/>
      <c r="CR47" s="275"/>
      <c r="CS47" s="275"/>
      <c r="CT47" s="275"/>
      <c r="CU47" s="275"/>
      <c r="CV47" s="275"/>
      <c r="CW47" s="275"/>
      <c r="CX47" s="275"/>
      <c r="CY47" s="275"/>
      <c r="CZ47" s="275"/>
    </row>
    <row r="48" spans="2:104" ht="15.75" customHeight="1" x14ac:dyDescent="0.25">
      <c r="B48" s="403"/>
      <c r="C48" s="403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95"/>
      <c r="R48" s="95"/>
      <c r="T48" s="628"/>
      <c r="U48" s="69">
        <v>2</v>
      </c>
      <c r="V48" s="69">
        <v>7211</v>
      </c>
      <c r="W48" s="69" t="s">
        <v>12</v>
      </c>
      <c r="X48" s="409">
        <f>'Structural Information'!$AC$7</f>
        <v>2</v>
      </c>
      <c r="Y48" s="410">
        <f>2*(SUM('Structural Information'!$X$19:$X$20))*(200)/$X48</f>
        <v>241274.31579569611</v>
      </c>
      <c r="Z48" s="411" t="s">
        <v>83</v>
      </c>
      <c r="AA48" s="272"/>
      <c r="AB48" s="272"/>
      <c r="AC48" s="272"/>
      <c r="AD48" s="272"/>
      <c r="AE48" s="272"/>
      <c r="AF48" s="272"/>
      <c r="AG48" s="272"/>
      <c r="AH48" s="272"/>
      <c r="AI48" s="272"/>
      <c r="AJ48" s="272"/>
      <c r="AK48" s="272"/>
      <c r="AM48" s="273"/>
      <c r="AN48" s="273"/>
      <c r="AO48" s="273"/>
      <c r="AP48" s="273"/>
      <c r="AQ48" s="273"/>
      <c r="AR48" s="273"/>
      <c r="AS48" s="273"/>
      <c r="AT48" s="273"/>
      <c r="AU48" s="273"/>
      <c r="AV48" s="273"/>
      <c r="AW48" s="273"/>
      <c r="AX48" s="273"/>
      <c r="AY48" s="273"/>
      <c r="AZ48" s="273"/>
      <c r="BA48" s="273"/>
      <c r="BB48" s="273"/>
      <c r="BC48" s="273"/>
      <c r="BD48" s="273"/>
      <c r="BE48" s="273"/>
      <c r="BF48" s="273"/>
      <c r="BG48" s="273"/>
      <c r="BH48" s="273"/>
      <c r="BI48" s="273"/>
      <c r="BJ48" s="273"/>
      <c r="BK48" s="273"/>
      <c r="BW48" s="274"/>
      <c r="BX48" s="274"/>
      <c r="BY48" s="274"/>
      <c r="BZ48" s="274"/>
      <c r="CA48" s="274"/>
      <c r="CB48" s="274"/>
      <c r="CC48" s="274"/>
      <c r="CD48" s="274"/>
      <c r="CE48" s="274"/>
      <c r="CF48" s="274"/>
      <c r="CG48" s="274"/>
      <c r="CH48" s="274"/>
      <c r="CI48" s="274"/>
      <c r="CJ48" s="274"/>
      <c r="CL48" s="275"/>
      <c r="CM48" s="275"/>
      <c r="CN48" s="275"/>
      <c r="CO48" s="275"/>
      <c r="CP48" s="275"/>
      <c r="CQ48" s="275"/>
      <c r="CR48" s="275"/>
      <c r="CS48" s="275"/>
      <c r="CT48" s="275"/>
      <c r="CU48" s="275"/>
      <c r="CV48" s="275"/>
      <c r="CW48" s="275"/>
      <c r="CX48" s="275"/>
      <c r="CY48" s="275"/>
      <c r="CZ48" s="275"/>
    </row>
    <row r="49" spans="2:104" ht="16.5" thickBot="1" x14ac:dyDescent="0.3">
      <c r="B49" s="403"/>
      <c r="C49" s="403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95"/>
      <c r="R49" s="95"/>
      <c r="T49" s="783"/>
      <c r="U49" s="336">
        <v>3</v>
      </c>
      <c r="V49" s="336">
        <v>7311</v>
      </c>
      <c r="W49" s="336" t="s">
        <v>12</v>
      </c>
      <c r="X49" s="412">
        <f>'Structural Information'!$AC$6</f>
        <v>4.5</v>
      </c>
      <c r="Y49" s="413">
        <f>2*(SUM('Structural Information'!$X$19:$X$20))*(200)/$X49</f>
        <v>107233.0292425316</v>
      </c>
      <c r="Z49" s="414" t="s">
        <v>83</v>
      </c>
      <c r="AA49" s="272"/>
      <c r="AB49" s="272"/>
      <c r="AC49" s="272"/>
      <c r="AD49" s="272"/>
      <c r="AE49" s="272"/>
      <c r="AF49" s="272"/>
      <c r="AG49" s="272"/>
      <c r="AH49" s="272"/>
      <c r="AI49" s="272"/>
      <c r="AJ49" s="272"/>
      <c r="AK49" s="272"/>
      <c r="AM49" s="273"/>
      <c r="AN49" s="273"/>
      <c r="AO49" s="273"/>
      <c r="AP49" s="273"/>
      <c r="AQ49" s="273"/>
      <c r="AR49" s="273"/>
      <c r="AS49" s="273"/>
      <c r="AT49" s="273"/>
      <c r="AU49" s="273"/>
      <c r="AV49" s="273"/>
      <c r="AW49" s="273"/>
      <c r="AX49" s="273"/>
      <c r="AY49" s="273"/>
      <c r="AZ49" s="273"/>
      <c r="BA49" s="273"/>
      <c r="BB49" s="273"/>
      <c r="BC49" s="273"/>
      <c r="BD49" s="273"/>
      <c r="BE49" s="273"/>
      <c r="BF49" s="273"/>
      <c r="BG49" s="273"/>
      <c r="BH49" s="273"/>
      <c r="BI49" s="273"/>
      <c r="BJ49" s="273"/>
      <c r="BK49" s="273"/>
      <c r="BW49" s="274"/>
      <c r="BX49" s="274"/>
      <c r="BY49" s="274"/>
      <c r="BZ49" s="274"/>
      <c r="CA49" s="274"/>
      <c r="CB49" s="274"/>
      <c r="CC49" s="274"/>
      <c r="CD49" s="274"/>
      <c r="CE49" s="274"/>
      <c r="CF49" s="274"/>
      <c r="CG49" s="274"/>
      <c r="CH49" s="274"/>
      <c r="CI49" s="274"/>
      <c r="CJ49" s="274"/>
      <c r="CL49" s="275"/>
      <c r="CM49" s="275"/>
      <c r="CN49" s="275"/>
      <c r="CO49" s="275"/>
      <c r="CP49" s="275"/>
      <c r="CQ49" s="275"/>
      <c r="CR49" s="275"/>
      <c r="CS49" s="275"/>
      <c r="CT49" s="275"/>
      <c r="CU49" s="275"/>
      <c r="CV49" s="275"/>
      <c r="CW49" s="275"/>
      <c r="CX49" s="275"/>
      <c r="CY49" s="275"/>
      <c r="CZ49" s="275"/>
    </row>
    <row r="50" spans="2:104" ht="15" customHeight="1" x14ac:dyDescent="0.25">
      <c r="B50" s="403"/>
      <c r="C50" s="403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95"/>
      <c r="R50" s="95"/>
      <c r="U50" s="272"/>
      <c r="V50" s="272"/>
      <c r="W50" s="272"/>
      <c r="X50" s="272"/>
      <c r="Y50" s="272"/>
      <c r="Z50" s="272"/>
      <c r="AA50" s="272"/>
      <c r="AB50" s="272"/>
      <c r="AC50" s="272"/>
      <c r="AD50" s="272"/>
      <c r="AE50" s="272"/>
      <c r="AF50" s="272"/>
      <c r="AG50" s="272"/>
      <c r="AH50" s="272"/>
      <c r="AI50" s="272"/>
      <c r="AJ50" s="272"/>
      <c r="AK50" s="272"/>
      <c r="AM50" s="273"/>
      <c r="AN50" s="273"/>
      <c r="AO50" s="273"/>
      <c r="AP50" s="273"/>
      <c r="AQ50" s="273"/>
      <c r="AR50" s="273"/>
      <c r="AS50" s="273"/>
      <c r="AT50" s="273"/>
      <c r="AU50" s="273"/>
      <c r="AV50" s="273"/>
      <c r="AW50" s="273"/>
      <c r="AX50" s="273"/>
      <c r="AY50" s="273"/>
      <c r="AZ50" s="273"/>
      <c r="BA50" s="273"/>
      <c r="BB50" s="273"/>
      <c r="BC50" s="273"/>
      <c r="BD50" s="273"/>
      <c r="BE50" s="273"/>
      <c r="BF50" s="273"/>
      <c r="BG50" s="273"/>
      <c r="BH50" s="273"/>
      <c r="BI50" s="273"/>
      <c r="BJ50" s="273"/>
      <c r="BK50" s="273"/>
      <c r="BW50" s="274"/>
      <c r="BX50" s="274"/>
      <c r="BY50" s="274"/>
      <c r="BZ50" s="274"/>
      <c r="CA50" s="274"/>
      <c r="CB50" s="274"/>
      <c r="CC50" s="274"/>
      <c r="CD50" s="274"/>
      <c r="CE50" s="274"/>
      <c r="CF50" s="274"/>
      <c r="CG50" s="274"/>
      <c r="CH50" s="274"/>
      <c r="CI50" s="274"/>
      <c r="CJ50" s="274"/>
      <c r="CL50" s="275"/>
      <c r="CM50" s="275"/>
      <c r="CN50" s="275"/>
      <c r="CO50" s="275"/>
      <c r="CP50" s="275"/>
      <c r="CQ50" s="275"/>
      <c r="CR50" s="275"/>
      <c r="CS50" s="275"/>
      <c r="CT50" s="275"/>
      <c r="CU50" s="275"/>
      <c r="CV50" s="275"/>
      <c r="CW50" s="275"/>
      <c r="CX50" s="275"/>
      <c r="CY50" s="275"/>
      <c r="CZ50" s="275"/>
    </row>
    <row r="51" spans="2:104" ht="15" customHeight="1" x14ac:dyDescent="0.25">
      <c r="B51" s="403"/>
      <c r="C51" s="403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95"/>
      <c r="R51" s="95"/>
      <c r="U51" s="272"/>
      <c r="V51" s="272"/>
      <c r="W51" s="272"/>
      <c r="X51" s="272"/>
      <c r="Y51" s="272"/>
      <c r="Z51" s="272"/>
      <c r="AA51" s="272"/>
      <c r="AB51" s="272"/>
      <c r="AC51" s="272"/>
      <c r="AD51" s="272"/>
      <c r="AE51" s="272"/>
      <c r="AF51" s="272"/>
      <c r="AG51" s="272"/>
      <c r="AH51" s="272"/>
      <c r="AI51" s="272"/>
      <c r="AJ51" s="272"/>
      <c r="AK51" s="272"/>
      <c r="AM51" s="273"/>
      <c r="AN51" s="273"/>
      <c r="AO51" s="273"/>
      <c r="AP51" s="273"/>
      <c r="AQ51" s="273"/>
      <c r="AR51" s="273"/>
      <c r="AS51" s="273"/>
      <c r="AT51" s="273"/>
      <c r="AU51" s="273"/>
      <c r="AV51" s="273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W51" s="274"/>
      <c r="BX51" s="274"/>
      <c r="BY51" s="274"/>
      <c r="BZ51" s="274"/>
      <c r="CA51" s="274"/>
      <c r="CB51" s="274"/>
      <c r="CC51" s="274"/>
      <c r="CD51" s="274"/>
      <c r="CE51" s="274"/>
      <c r="CF51" s="274"/>
      <c r="CG51" s="274"/>
      <c r="CH51" s="274"/>
      <c r="CI51" s="274"/>
      <c r="CJ51" s="274"/>
      <c r="CL51" s="275"/>
      <c r="CM51" s="275"/>
      <c r="CN51" s="275"/>
      <c r="CO51" s="275"/>
      <c r="CP51" s="275"/>
      <c r="CQ51" s="275"/>
      <c r="CR51" s="275"/>
      <c r="CS51" s="275"/>
      <c r="CT51" s="275"/>
      <c r="CU51" s="275"/>
      <c r="CV51" s="275"/>
      <c r="CW51" s="275"/>
      <c r="CX51" s="275"/>
      <c r="CY51" s="275"/>
      <c r="CZ51" s="275"/>
    </row>
    <row r="52" spans="2:104" ht="15" customHeight="1" x14ac:dyDescent="0.25">
      <c r="B52" s="403"/>
      <c r="C52" s="403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95"/>
      <c r="R52" s="95"/>
      <c r="U52" s="272"/>
      <c r="V52" s="272"/>
      <c r="W52" s="272"/>
      <c r="X52" s="272"/>
      <c r="Y52" s="272"/>
      <c r="Z52" s="272"/>
      <c r="AA52" s="272"/>
      <c r="AB52" s="272"/>
      <c r="AC52" s="272"/>
      <c r="AD52" s="272"/>
      <c r="AE52" s="272"/>
      <c r="AF52" s="272"/>
      <c r="AG52" s="272"/>
      <c r="AH52" s="272"/>
      <c r="AI52" s="272"/>
      <c r="AJ52" s="272"/>
      <c r="AK52" s="272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W52" s="274"/>
      <c r="BX52" s="274"/>
      <c r="BY52" s="274"/>
      <c r="BZ52" s="274"/>
      <c r="CA52" s="274"/>
      <c r="CB52" s="274"/>
      <c r="CC52" s="274"/>
      <c r="CD52" s="274"/>
      <c r="CE52" s="274"/>
      <c r="CF52" s="274"/>
      <c r="CG52" s="274"/>
      <c r="CH52" s="274"/>
      <c r="CI52" s="274"/>
      <c r="CJ52" s="274"/>
      <c r="CL52" s="275"/>
      <c r="CM52" s="275"/>
      <c r="CN52" s="275"/>
      <c r="CO52" s="275"/>
      <c r="CP52" s="275"/>
      <c r="CQ52" s="275"/>
      <c r="CR52" s="275"/>
      <c r="CS52" s="275"/>
      <c r="CT52" s="275"/>
      <c r="CU52" s="275"/>
      <c r="CV52" s="275"/>
      <c r="CW52" s="275"/>
      <c r="CX52" s="275"/>
      <c r="CY52" s="275"/>
      <c r="CZ52" s="275"/>
    </row>
    <row r="53" spans="2:104" ht="15" customHeight="1" x14ac:dyDescent="0.25">
      <c r="B53" s="403"/>
      <c r="C53" s="403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95"/>
      <c r="R53" s="95"/>
      <c r="U53" s="272"/>
      <c r="V53" s="272"/>
      <c r="W53" s="272"/>
      <c r="X53" s="272"/>
      <c r="Y53" s="272"/>
      <c r="Z53" s="272"/>
      <c r="AA53" s="272"/>
      <c r="AB53" s="272"/>
      <c r="AC53" s="272"/>
      <c r="AD53" s="272"/>
      <c r="AE53" s="272"/>
      <c r="AF53" s="272"/>
      <c r="AG53" s="272"/>
      <c r="AH53" s="272"/>
      <c r="AI53" s="272"/>
      <c r="AJ53" s="272"/>
      <c r="AK53" s="272"/>
      <c r="AM53" s="273"/>
      <c r="AN53" s="273"/>
      <c r="AO53" s="273"/>
      <c r="AP53" s="273"/>
      <c r="AQ53" s="273"/>
      <c r="AR53" s="273"/>
      <c r="AS53" s="273"/>
      <c r="AT53" s="273"/>
      <c r="AU53" s="273"/>
      <c r="AV53" s="273"/>
      <c r="AW53" s="273"/>
      <c r="AX53" s="273"/>
      <c r="AY53" s="273"/>
      <c r="AZ53" s="273"/>
      <c r="BA53" s="273"/>
      <c r="BB53" s="273"/>
      <c r="BC53" s="273"/>
      <c r="BD53" s="273"/>
      <c r="BE53" s="273"/>
      <c r="BF53" s="273"/>
      <c r="BG53" s="273"/>
      <c r="BH53" s="273"/>
      <c r="BI53" s="273"/>
      <c r="BJ53" s="273"/>
      <c r="BK53" s="273"/>
      <c r="BW53" s="274"/>
      <c r="BX53" s="274"/>
      <c r="BY53" s="274"/>
      <c r="BZ53" s="274"/>
      <c r="CA53" s="274"/>
      <c r="CB53" s="274"/>
      <c r="CC53" s="274"/>
      <c r="CD53" s="274"/>
      <c r="CE53" s="274"/>
      <c r="CF53" s="274"/>
      <c r="CG53" s="274"/>
      <c r="CH53" s="274"/>
      <c r="CI53" s="274"/>
      <c r="CJ53" s="274"/>
      <c r="CL53" s="275"/>
      <c r="CM53" s="275"/>
      <c r="CN53" s="275"/>
      <c r="CO53" s="275"/>
      <c r="CP53" s="275"/>
      <c r="CQ53" s="275"/>
      <c r="CR53" s="275"/>
      <c r="CS53" s="275"/>
      <c r="CT53" s="275"/>
      <c r="CU53" s="275"/>
      <c r="CV53" s="275"/>
      <c r="CW53" s="275"/>
      <c r="CX53" s="275"/>
      <c r="CY53" s="275"/>
      <c r="CZ53" s="275"/>
    </row>
    <row r="54" spans="2:104" ht="15" customHeight="1" x14ac:dyDescent="0.25">
      <c r="B54" s="403"/>
      <c r="C54" s="403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95"/>
      <c r="R54" s="95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M54" s="273"/>
      <c r="AN54" s="273"/>
      <c r="AO54" s="273"/>
      <c r="AP54" s="273"/>
      <c r="AQ54" s="273"/>
      <c r="AR54" s="273"/>
      <c r="AS54" s="273"/>
      <c r="AT54" s="273"/>
      <c r="AU54" s="273"/>
      <c r="AV54" s="273"/>
      <c r="AW54" s="273"/>
      <c r="AX54" s="273"/>
      <c r="AY54" s="273"/>
      <c r="AZ54" s="273"/>
      <c r="BA54" s="273"/>
      <c r="BB54" s="273"/>
      <c r="BC54" s="273"/>
      <c r="BD54" s="273"/>
      <c r="BE54" s="273"/>
      <c r="BF54" s="273"/>
      <c r="BG54" s="273"/>
      <c r="BH54" s="273"/>
      <c r="BI54" s="273"/>
      <c r="BJ54" s="273"/>
      <c r="BK54" s="273"/>
      <c r="BW54" s="274"/>
      <c r="BX54" s="274"/>
      <c r="BY54" s="274"/>
      <c r="BZ54" s="274"/>
      <c r="CA54" s="274"/>
      <c r="CB54" s="274"/>
      <c r="CC54" s="274"/>
      <c r="CD54" s="274"/>
      <c r="CE54" s="274"/>
      <c r="CF54" s="274"/>
      <c r="CG54" s="274"/>
      <c r="CH54" s="274"/>
      <c r="CI54" s="274"/>
      <c r="CJ54" s="274"/>
      <c r="CL54" s="275"/>
      <c r="CM54" s="275"/>
      <c r="CN54" s="275"/>
      <c r="CO54" s="275"/>
      <c r="CP54" s="275"/>
      <c r="CQ54" s="275"/>
      <c r="CR54" s="275"/>
      <c r="CS54" s="275"/>
      <c r="CT54" s="275"/>
      <c r="CU54" s="275"/>
      <c r="CV54" s="275"/>
      <c r="CW54" s="275"/>
      <c r="CX54" s="275"/>
      <c r="CY54" s="275"/>
      <c r="CZ54" s="275"/>
    </row>
    <row r="55" spans="2:104" ht="15.75" customHeight="1" thickBot="1" x14ac:dyDescent="0.3">
      <c r="B55" s="416"/>
      <c r="C55" s="416"/>
      <c r="D55" s="417"/>
      <c r="E55" s="417"/>
      <c r="F55" s="417"/>
      <c r="G55" s="417"/>
      <c r="H55" s="417"/>
      <c r="I55" s="417"/>
      <c r="J55" s="417"/>
      <c r="K55" s="417"/>
      <c r="L55" s="417"/>
      <c r="M55" s="417"/>
      <c r="N55" s="417"/>
      <c r="O55" s="417"/>
      <c r="P55" s="417"/>
      <c r="Q55" s="185"/>
      <c r="R55" s="185"/>
      <c r="U55" s="272"/>
      <c r="V55" s="272"/>
      <c r="W55" s="272"/>
      <c r="X55" s="272"/>
      <c r="Y55" s="272"/>
      <c r="Z55" s="272"/>
      <c r="AA55" s="272"/>
      <c r="AB55" s="272"/>
      <c r="AC55" s="272"/>
      <c r="AD55" s="272"/>
      <c r="AE55" s="272"/>
      <c r="AF55" s="272"/>
      <c r="AG55" s="272"/>
      <c r="AH55" s="272"/>
      <c r="AI55" s="272"/>
      <c r="AJ55" s="272"/>
      <c r="AK55" s="272"/>
      <c r="AM55" s="273"/>
      <c r="AN55" s="273"/>
      <c r="AO55" s="273"/>
      <c r="AP55" s="273"/>
      <c r="AQ55" s="273"/>
      <c r="AR55" s="273"/>
      <c r="AS55" s="273"/>
      <c r="AT55" s="273"/>
      <c r="AU55" s="273"/>
      <c r="AV55" s="273"/>
      <c r="AW55" s="273"/>
      <c r="AX55" s="273"/>
      <c r="AY55" s="273"/>
      <c r="AZ55" s="273"/>
      <c r="BA55" s="273"/>
      <c r="BB55" s="273"/>
      <c r="BC55" s="273"/>
      <c r="BD55" s="273"/>
      <c r="BE55" s="273"/>
      <c r="BF55" s="273"/>
      <c r="BG55" s="273"/>
      <c r="BH55" s="273"/>
      <c r="BI55" s="273"/>
      <c r="BJ55" s="273"/>
      <c r="BK55" s="273"/>
      <c r="BW55" s="274"/>
      <c r="BX55" s="274"/>
      <c r="BY55" s="274"/>
      <c r="BZ55" s="274"/>
      <c r="CA55" s="274"/>
      <c r="CB55" s="274"/>
      <c r="CC55" s="274"/>
      <c r="CD55" s="274"/>
      <c r="CE55" s="274"/>
      <c r="CF55" s="274"/>
      <c r="CG55" s="274"/>
      <c r="CH55" s="274"/>
      <c r="CI55" s="274"/>
      <c r="CJ55" s="274"/>
      <c r="CL55" s="275"/>
      <c r="CM55" s="275"/>
      <c r="CN55" s="275"/>
      <c r="CO55" s="275"/>
      <c r="CP55" s="275"/>
      <c r="CQ55" s="275"/>
      <c r="CR55" s="275"/>
      <c r="CS55" s="275"/>
      <c r="CT55" s="275"/>
      <c r="CU55" s="275"/>
      <c r="CV55" s="275"/>
      <c r="CW55" s="275"/>
      <c r="CX55" s="275"/>
      <c r="CY55" s="275"/>
      <c r="CZ55" s="275"/>
    </row>
    <row r="56" spans="2:104" ht="15" customHeight="1" x14ac:dyDescent="0.25"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U56" s="272"/>
      <c r="V56" s="272"/>
      <c r="W56" s="272"/>
      <c r="X56" s="272"/>
      <c r="Y56" s="272"/>
      <c r="Z56" s="272"/>
      <c r="AA56" s="272"/>
      <c r="AB56" s="272"/>
      <c r="AC56" s="272"/>
      <c r="AD56" s="272"/>
      <c r="AE56" s="272"/>
      <c r="AF56" s="272"/>
      <c r="AG56" s="272"/>
      <c r="AH56" s="272"/>
      <c r="AI56" s="272"/>
      <c r="AJ56" s="272"/>
      <c r="AK56" s="272"/>
      <c r="AM56" s="273"/>
      <c r="AN56" s="273"/>
      <c r="AO56" s="273"/>
      <c r="AP56" s="273"/>
      <c r="AQ56" s="273"/>
      <c r="AR56" s="273"/>
      <c r="AS56" s="273"/>
      <c r="AT56" s="273"/>
      <c r="AU56" s="273"/>
      <c r="AV56" s="273"/>
      <c r="AW56" s="273"/>
      <c r="AX56" s="273"/>
      <c r="AY56" s="273"/>
      <c r="AZ56" s="273"/>
      <c r="BA56" s="273"/>
      <c r="BB56" s="273"/>
      <c r="BC56" s="273"/>
      <c r="BD56" s="273"/>
      <c r="BE56" s="273"/>
      <c r="BF56" s="273"/>
      <c r="BG56" s="273"/>
      <c r="BH56" s="273"/>
      <c r="BI56" s="273"/>
      <c r="BJ56" s="273"/>
      <c r="BK56" s="273"/>
      <c r="BW56" s="274"/>
      <c r="BX56" s="274"/>
      <c r="BY56" s="274"/>
      <c r="BZ56" s="274"/>
      <c r="CA56" s="274"/>
      <c r="CB56" s="274"/>
      <c r="CC56" s="274"/>
      <c r="CD56" s="274"/>
      <c r="CE56" s="274"/>
      <c r="CF56" s="274"/>
      <c r="CG56" s="274"/>
      <c r="CH56" s="274"/>
      <c r="CI56" s="274"/>
      <c r="CJ56" s="274"/>
      <c r="CL56" s="275"/>
      <c r="CM56" s="275"/>
      <c r="CN56" s="275"/>
      <c r="CO56" s="275"/>
      <c r="CP56" s="275"/>
      <c r="CQ56" s="275"/>
      <c r="CR56" s="275"/>
      <c r="CS56" s="275"/>
      <c r="CT56" s="275"/>
      <c r="CU56" s="275"/>
      <c r="CV56" s="275"/>
      <c r="CW56" s="275"/>
      <c r="CX56" s="275"/>
      <c r="CY56" s="275"/>
      <c r="CZ56" s="275"/>
    </row>
    <row r="57" spans="2:104" ht="15.75" customHeight="1" x14ac:dyDescent="0.25"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418"/>
      <c r="O57" s="58"/>
      <c r="P57" s="58"/>
      <c r="Q57" s="58"/>
      <c r="R57" s="58"/>
      <c r="U57" s="272"/>
      <c r="V57" s="272"/>
      <c r="W57" s="272"/>
      <c r="X57" s="272"/>
      <c r="Y57" s="272"/>
      <c r="Z57" s="272"/>
      <c r="AA57" s="272"/>
      <c r="AB57" s="272"/>
      <c r="AC57" s="272"/>
      <c r="AD57" s="272"/>
      <c r="AE57" s="272"/>
      <c r="AF57" s="272"/>
      <c r="AG57" s="272"/>
      <c r="AH57" s="272"/>
      <c r="AI57" s="272"/>
      <c r="AJ57" s="272"/>
      <c r="AK57" s="272"/>
      <c r="AM57" s="273"/>
      <c r="AN57" s="273"/>
      <c r="AO57" s="273"/>
      <c r="AP57" s="273"/>
      <c r="AQ57" s="273"/>
      <c r="AR57" s="273"/>
      <c r="AS57" s="273"/>
      <c r="AT57" s="273"/>
      <c r="AU57" s="273"/>
      <c r="AV57" s="273"/>
      <c r="AW57" s="273"/>
      <c r="AX57" s="273"/>
      <c r="AY57" s="273"/>
      <c r="AZ57" s="273"/>
      <c r="BA57" s="273"/>
      <c r="BB57" s="273"/>
      <c r="BC57" s="273"/>
      <c r="BD57" s="273"/>
      <c r="BE57" s="273"/>
      <c r="BF57" s="273"/>
      <c r="BG57" s="273"/>
      <c r="BH57" s="273"/>
      <c r="BI57" s="273"/>
      <c r="BJ57" s="273"/>
      <c r="BK57" s="273"/>
      <c r="BW57" s="274"/>
      <c r="BX57" s="274"/>
      <c r="BY57" s="274"/>
      <c r="BZ57" s="274"/>
      <c r="CA57" s="274"/>
      <c r="CB57" s="274"/>
      <c r="CC57" s="274"/>
      <c r="CD57" s="274"/>
      <c r="CE57" s="274"/>
      <c r="CF57" s="274"/>
      <c r="CG57" s="274"/>
      <c r="CH57" s="274"/>
      <c r="CI57" s="274"/>
      <c r="CJ57" s="274"/>
      <c r="CL57" s="275"/>
      <c r="CM57" s="275"/>
      <c r="CN57" s="275"/>
      <c r="CO57" s="275"/>
      <c r="CP57" s="275"/>
      <c r="CQ57" s="275"/>
      <c r="CR57" s="275"/>
      <c r="CS57" s="275"/>
      <c r="CT57" s="275"/>
      <c r="CU57" s="275"/>
      <c r="CV57" s="275"/>
      <c r="CW57" s="275"/>
      <c r="CX57" s="275"/>
      <c r="CY57" s="275"/>
      <c r="CZ57" s="275"/>
    </row>
    <row r="58" spans="2:104" ht="16.5" customHeight="1" x14ac:dyDescent="0.25">
      <c r="I58" s="58"/>
      <c r="J58" s="58"/>
      <c r="K58" s="58"/>
      <c r="L58" s="58"/>
      <c r="M58" s="58"/>
      <c r="N58" s="59"/>
      <c r="O58" s="58"/>
      <c r="P58" s="58"/>
      <c r="Q58" s="58"/>
      <c r="R58" s="58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M58" s="273"/>
      <c r="AN58" s="273"/>
      <c r="AO58" s="273"/>
      <c r="AP58" s="273"/>
      <c r="AQ58" s="273"/>
      <c r="AR58" s="273"/>
      <c r="AS58" s="273"/>
      <c r="AT58" s="273"/>
      <c r="AU58" s="273"/>
      <c r="AV58" s="273"/>
      <c r="AW58" s="273"/>
      <c r="AX58" s="273"/>
      <c r="AY58" s="273"/>
      <c r="AZ58" s="273"/>
      <c r="BA58" s="273"/>
      <c r="BB58" s="273"/>
      <c r="BC58" s="273"/>
      <c r="BD58" s="273"/>
      <c r="BE58" s="273"/>
      <c r="BF58" s="273"/>
      <c r="BG58" s="273"/>
      <c r="BH58" s="273"/>
      <c r="BI58" s="273"/>
      <c r="BJ58" s="273"/>
      <c r="BK58" s="273"/>
      <c r="BW58" s="274"/>
      <c r="BX58" s="274"/>
      <c r="BY58" s="274"/>
      <c r="BZ58" s="274"/>
      <c r="CA58" s="274"/>
      <c r="CB58" s="274"/>
      <c r="CC58" s="274"/>
      <c r="CD58" s="274"/>
      <c r="CE58" s="274"/>
      <c r="CF58" s="274"/>
      <c r="CG58" s="274"/>
      <c r="CH58" s="274"/>
      <c r="CI58" s="274"/>
      <c r="CJ58" s="274"/>
      <c r="CL58" s="275"/>
      <c r="CM58" s="275"/>
      <c r="CN58" s="275"/>
      <c r="CO58" s="275"/>
      <c r="CP58" s="275"/>
      <c r="CQ58" s="275"/>
      <c r="CR58" s="275"/>
      <c r="CS58" s="275"/>
      <c r="CT58" s="275"/>
      <c r="CU58" s="275"/>
      <c r="CV58" s="275"/>
      <c r="CW58" s="275"/>
      <c r="CX58" s="275"/>
      <c r="CY58" s="275"/>
      <c r="CZ58" s="275"/>
    </row>
    <row r="59" spans="2:104" ht="16.5" customHeight="1" x14ac:dyDescent="0.25">
      <c r="I59" s="58"/>
      <c r="J59" s="58"/>
      <c r="K59" s="58"/>
      <c r="L59" s="58"/>
      <c r="U59" s="272"/>
      <c r="V59" s="272"/>
      <c r="W59" s="272"/>
      <c r="X59" s="272"/>
      <c r="Y59" s="272"/>
      <c r="Z59" s="272"/>
      <c r="AA59" s="272"/>
      <c r="AB59" s="272"/>
      <c r="AC59" s="272"/>
      <c r="AD59" s="272"/>
      <c r="AE59" s="272"/>
      <c r="AF59" s="272"/>
      <c r="AG59" s="272"/>
      <c r="AH59" s="272"/>
      <c r="AI59" s="272"/>
      <c r="AJ59" s="272"/>
      <c r="AK59" s="272"/>
      <c r="AM59" s="273"/>
      <c r="AN59" s="273"/>
      <c r="AO59" s="273"/>
      <c r="AP59" s="273"/>
      <c r="AQ59" s="273"/>
      <c r="AR59" s="273"/>
      <c r="AS59" s="273"/>
      <c r="AT59" s="273"/>
      <c r="AU59" s="273"/>
      <c r="AV59" s="273"/>
      <c r="AW59" s="273"/>
      <c r="AX59" s="273"/>
      <c r="AY59" s="273"/>
      <c r="AZ59" s="273"/>
      <c r="BA59" s="273"/>
      <c r="BB59" s="273"/>
      <c r="BC59" s="273"/>
      <c r="BD59" s="273"/>
      <c r="BE59" s="273"/>
      <c r="BF59" s="273"/>
      <c r="BG59" s="273"/>
      <c r="BH59" s="273"/>
      <c r="BI59" s="273"/>
      <c r="BJ59" s="273"/>
      <c r="BK59" s="273"/>
      <c r="BW59" s="274"/>
      <c r="BX59" s="274"/>
      <c r="BY59" s="274"/>
      <c r="BZ59" s="274"/>
      <c r="CA59" s="274"/>
      <c r="CB59" s="274"/>
      <c r="CC59" s="274"/>
      <c r="CD59" s="274"/>
      <c r="CE59" s="274"/>
      <c r="CF59" s="274"/>
      <c r="CG59" s="274"/>
      <c r="CH59" s="274"/>
      <c r="CI59" s="274"/>
      <c r="CJ59" s="274"/>
      <c r="CL59" s="275"/>
      <c r="CM59" s="275"/>
      <c r="CN59" s="275"/>
      <c r="CO59" s="275"/>
      <c r="CP59" s="275"/>
      <c r="CQ59" s="275"/>
      <c r="CR59" s="275"/>
      <c r="CS59" s="275"/>
      <c r="CT59" s="275"/>
      <c r="CU59" s="275"/>
      <c r="CV59" s="275"/>
      <c r="CW59" s="275"/>
      <c r="CX59" s="275"/>
      <c r="CY59" s="275"/>
      <c r="CZ59" s="275"/>
    </row>
    <row r="60" spans="2:104" ht="15" customHeight="1" x14ac:dyDescent="0.25">
      <c r="I60" s="58"/>
      <c r="J60" s="58"/>
      <c r="K60" s="58"/>
      <c r="L60" s="58"/>
      <c r="U60" s="272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272"/>
      <c r="AK60" s="272"/>
      <c r="AM60" s="273"/>
      <c r="AN60" s="273"/>
      <c r="AO60" s="273"/>
      <c r="AP60" s="273"/>
      <c r="AQ60" s="273"/>
      <c r="AR60" s="273"/>
      <c r="AS60" s="273"/>
      <c r="AT60" s="273"/>
      <c r="AU60" s="273"/>
      <c r="AV60" s="273"/>
      <c r="AW60" s="273"/>
      <c r="AX60" s="273"/>
      <c r="AY60" s="273"/>
      <c r="AZ60" s="273"/>
      <c r="BA60" s="273"/>
      <c r="BB60" s="273"/>
      <c r="BC60" s="273"/>
      <c r="BD60" s="273"/>
      <c r="BE60" s="273"/>
      <c r="BF60" s="273"/>
      <c r="BG60" s="273"/>
      <c r="BH60" s="273"/>
      <c r="BI60" s="273"/>
      <c r="BJ60" s="273"/>
      <c r="BK60" s="273"/>
      <c r="BW60" s="274"/>
      <c r="BX60" s="274"/>
      <c r="BY60" s="274"/>
      <c r="BZ60" s="274"/>
      <c r="CA60" s="274"/>
      <c r="CB60" s="274"/>
      <c r="CC60" s="274"/>
      <c r="CD60" s="274"/>
      <c r="CE60" s="274"/>
      <c r="CF60" s="274"/>
      <c r="CG60" s="274"/>
      <c r="CH60" s="274"/>
      <c r="CI60" s="274"/>
      <c r="CJ60" s="274"/>
      <c r="CL60" s="275"/>
      <c r="CM60" s="275"/>
      <c r="CN60" s="275"/>
      <c r="CO60" s="275"/>
      <c r="CP60" s="275"/>
      <c r="CQ60" s="275"/>
      <c r="CR60" s="275"/>
      <c r="CS60" s="275"/>
      <c r="CT60" s="275"/>
      <c r="CU60" s="275"/>
      <c r="CV60" s="275"/>
      <c r="CW60" s="275"/>
      <c r="CX60" s="275"/>
      <c r="CY60" s="275"/>
      <c r="CZ60" s="275"/>
    </row>
    <row r="61" spans="2:104" ht="15" customHeight="1" x14ac:dyDescent="0.25">
      <c r="I61" s="58"/>
      <c r="J61" s="58"/>
      <c r="K61" s="58"/>
      <c r="L61" s="58"/>
      <c r="U61" s="272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272"/>
      <c r="AK61" s="272"/>
      <c r="AM61" s="273"/>
      <c r="AN61" s="273"/>
      <c r="AO61" s="273"/>
      <c r="AP61" s="273"/>
      <c r="AQ61" s="273"/>
      <c r="AR61" s="273"/>
      <c r="AS61" s="273"/>
      <c r="AT61" s="273"/>
      <c r="AU61" s="273"/>
      <c r="AV61" s="273"/>
      <c r="AW61" s="273"/>
      <c r="AX61" s="273"/>
      <c r="AY61" s="273"/>
      <c r="AZ61" s="273"/>
      <c r="BA61" s="273"/>
      <c r="BB61" s="273"/>
      <c r="BC61" s="273"/>
      <c r="BD61" s="273"/>
      <c r="BE61" s="273"/>
      <c r="BF61" s="273"/>
      <c r="BG61" s="273"/>
      <c r="BH61" s="273"/>
      <c r="BI61" s="273"/>
      <c r="BJ61" s="273"/>
      <c r="BK61" s="273"/>
      <c r="BW61" s="274"/>
      <c r="BX61" s="274"/>
      <c r="BY61" s="274"/>
      <c r="BZ61" s="274"/>
      <c r="CA61" s="274"/>
      <c r="CB61" s="274"/>
      <c r="CC61" s="274"/>
      <c r="CD61" s="274"/>
      <c r="CE61" s="274"/>
      <c r="CF61" s="274"/>
      <c r="CG61" s="274"/>
      <c r="CH61" s="274"/>
      <c r="CI61" s="274"/>
      <c r="CJ61" s="274"/>
      <c r="CL61" s="275"/>
      <c r="CM61" s="275"/>
      <c r="CN61" s="275"/>
      <c r="CO61" s="275"/>
      <c r="CP61" s="275"/>
      <c r="CQ61" s="275"/>
      <c r="CR61" s="275"/>
      <c r="CS61" s="275"/>
      <c r="CT61" s="275"/>
      <c r="CU61" s="275"/>
      <c r="CV61" s="275"/>
      <c r="CW61" s="275"/>
      <c r="CX61" s="275"/>
      <c r="CY61" s="275"/>
      <c r="CZ61" s="275"/>
    </row>
    <row r="62" spans="2:104" ht="15.75" customHeight="1" x14ac:dyDescent="0.25">
      <c r="I62" s="58"/>
      <c r="J62" s="58"/>
      <c r="K62" s="58"/>
      <c r="L62" s="58"/>
      <c r="U62" s="272"/>
      <c r="V62" s="272"/>
      <c r="W62" s="272"/>
      <c r="X62" s="272"/>
      <c r="Y62" s="272"/>
      <c r="Z62" s="272"/>
      <c r="AA62" s="272"/>
      <c r="AB62" s="272"/>
      <c r="AC62" s="272"/>
      <c r="AD62" s="272"/>
      <c r="AE62" s="272"/>
      <c r="AF62" s="272"/>
      <c r="AG62" s="272"/>
      <c r="AH62" s="272"/>
      <c r="AI62" s="272"/>
      <c r="AJ62" s="272"/>
      <c r="AK62" s="272"/>
      <c r="AM62" s="273"/>
      <c r="AN62" s="273"/>
      <c r="AO62" s="273"/>
      <c r="AP62" s="273"/>
      <c r="AQ62" s="273"/>
      <c r="AR62" s="273"/>
      <c r="AS62" s="273"/>
      <c r="AT62" s="273"/>
      <c r="AU62" s="273"/>
      <c r="AV62" s="273"/>
      <c r="AW62" s="273"/>
      <c r="AX62" s="273"/>
      <c r="AY62" s="273"/>
      <c r="AZ62" s="273"/>
      <c r="BA62" s="273"/>
      <c r="BB62" s="273"/>
      <c r="BC62" s="273"/>
      <c r="BD62" s="273"/>
      <c r="BE62" s="273"/>
      <c r="BF62" s="273"/>
      <c r="BG62" s="273"/>
      <c r="BH62" s="273"/>
      <c r="BI62" s="273"/>
      <c r="BJ62" s="273"/>
      <c r="BK62" s="273"/>
      <c r="BW62" s="274"/>
      <c r="BX62" s="274"/>
      <c r="BY62" s="274"/>
      <c r="BZ62" s="274"/>
      <c r="CA62" s="274"/>
      <c r="CB62" s="274"/>
      <c r="CC62" s="274"/>
      <c r="CD62" s="274"/>
      <c r="CE62" s="274"/>
      <c r="CF62" s="274"/>
      <c r="CG62" s="274"/>
      <c r="CH62" s="274"/>
      <c r="CI62" s="274"/>
      <c r="CJ62" s="274"/>
      <c r="CL62" s="275"/>
      <c r="CM62" s="275"/>
      <c r="CN62" s="275"/>
      <c r="CO62" s="275"/>
      <c r="CP62" s="275"/>
      <c r="CQ62" s="275"/>
      <c r="CR62" s="275"/>
      <c r="CS62" s="275"/>
      <c r="CT62" s="275"/>
      <c r="CU62" s="275"/>
      <c r="CV62" s="275"/>
      <c r="CW62" s="275"/>
      <c r="CX62" s="275"/>
      <c r="CY62" s="275"/>
      <c r="CZ62" s="275"/>
    </row>
    <row r="63" spans="2:104" ht="15.75" customHeight="1" x14ac:dyDescent="0.25">
      <c r="U63" s="272"/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272"/>
      <c r="AK63" s="272"/>
      <c r="AM63" s="273"/>
      <c r="AN63" s="273"/>
      <c r="AO63" s="273"/>
      <c r="AP63" s="273"/>
      <c r="AQ63" s="273"/>
      <c r="AR63" s="273"/>
      <c r="AS63" s="273"/>
      <c r="AT63" s="273"/>
      <c r="AU63" s="273"/>
      <c r="AV63" s="273"/>
      <c r="AW63" s="273"/>
      <c r="AX63" s="273"/>
      <c r="AY63" s="273"/>
      <c r="AZ63" s="273"/>
      <c r="BA63" s="273"/>
      <c r="BB63" s="273"/>
      <c r="BC63" s="273"/>
      <c r="BD63" s="273"/>
      <c r="BE63" s="273"/>
      <c r="BF63" s="273"/>
      <c r="BG63" s="273"/>
      <c r="BH63" s="273"/>
      <c r="BI63" s="273"/>
      <c r="BJ63" s="273"/>
      <c r="BK63" s="273"/>
      <c r="BW63" s="274"/>
      <c r="BX63" s="274"/>
      <c r="BY63" s="274"/>
      <c r="BZ63" s="274"/>
      <c r="CA63" s="274"/>
      <c r="CB63" s="274"/>
      <c r="CC63" s="274"/>
      <c r="CD63" s="274"/>
      <c r="CE63" s="274"/>
      <c r="CF63" s="274"/>
      <c r="CG63" s="274"/>
      <c r="CH63" s="274"/>
      <c r="CI63" s="274"/>
      <c r="CJ63" s="274"/>
      <c r="CL63" s="275"/>
      <c r="CM63" s="275"/>
      <c r="CN63" s="275"/>
      <c r="CO63" s="275"/>
      <c r="CP63" s="275"/>
      <c r="CQ63" s="275"/>
      <c r="CR63" s="275"/>
      <c r="CS63" s="275"/>
      <c r="CT63" s="275"/>
      <c r="CU63" s="275"/>
      <c r="CV63" s="275"/>
      <c r="CW63" s="275"/>
      <c r="CX63" s="275"/>
      <c r="CY63" s="275"/>
      <c r="CZ63" s="275"/>
    </row>
    <row r="64" spans="2:104" ht="15" customHeight="1" x14ac:dyDescent="0.25">
      <c r="U64" s="272"/>
      <c r="V64" s="272"/>
      <c r="W64" s="272"/>
      <c r="X64" s="272"/>
      <c r="Y64" s="272"/>
      <c r="Z64" s="272"/>
      <c r="AA64" s="272"/>
      <c r="AB64" s="272"/>
      <c r="AC64" s="272"/>
      <c r="AD64" s="272"/>
      <c r="AE64" s="272"/>
      <c r="AF64" s="272"/>
      <c r="AG64" s="272"/>
      <c r="AH64" s="272"/>
      <c r="AI64" s="272"/>
      <c r="AJ64" s="272"/>
      <c r="AK64" s="272"/>
      <c r="AM64" s="273"/>
      <c r="AN64" s="273"/>
      <c r="AO64" s="273"/>
      <c r="AP64" s="273"/>
      <c r="AQ64" s="273"/>
      <c r="AR64" s="273"/>
      <c r="AS64" s="273"/>
      <c r="AT64" s="273"/>
      <c r="AU64" s="273"/>
      <c r="AV64" s="273"/>
      <c r="AW64" s="273"/>
      <c r="AX64" s="273"/>
      <c r="AY64" s="273"/>
      <c r="AZ64" s="273"/>
      <c r="BA64" s="273"/>
      <c r="BB64" s="273"/>
      <c r="BC64" s="273"/>
      <c r="BD64" s="273"/>
      <c r="BE64" s="273"/>
      <c r="BF64" s="273"/>
      <c r="BG64" s="273"/>
      <c r="BH64" s="273"/>
      <c r="BI64" s="273"/>
      <c r="BJ64" s="273"/>
      <c r="BK64" s="273"/>
      <c r="BW64" s="274"/>
      <c r="BX64" s="274"/>
      <c r="BY64" s="274"/>
      <c r="BZ64" s="274"/>
      <c r="CA64" s="274"/>
      <c r="CB64" s="274"/>
      <c r="CC64" s="274"/>
      <c r="CD64" s="274"/>
      <c r="CE64" s="274"/>
      <c r="CF64" s="274"/>
      <c r="CG64" s="274"/>
      <c r="CH64" s="274"/>
      <c r="CI64" s="274"/>
      <c r="CJ64" s="274"/>
      <c r="CL64" s="275"/>
      <c r="CM64" s="275"/>
      <c r="CN64" s="275"/>
      <c r="CO64" s="275"/>
      <c r="CP64" s="275"/>
      <c r="CQ64" s="275"/>
      <c r="CR64" s="275"/>
      <c r="CS64" s="275"/>
      <c r="CT64" s="275"/>
      <c r="CU64" s="275"/>
      <c r="CV64" s="275"/>
      <c r="CW64" s="275"/>
      <c r="CX64" s="275"/>
      <c r="CY64" s="275"/>
      <c r="CZ64" s="275"/>
    </row>
    <row r="65" spans="21:104" ht="15.75" customHeight="1" x14ac:dyDescent="0.25"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72"/>
      <c r="AH65" s="272"/>
      <c r="AI65" s="272"/>
      <c r="AJ65" s="272"/>
      <c r="AK65" s="272"/>
      <c r="AM65" s="273"/>
      <c r="AN65" s="273"/>
      <c r="AO65" s="273"/>
      <c r="AP65" s="273"/>
      <c r="AQ65" s="273"/>
      <c r="AR65" s="273"/>
      <c r="AS65" s="273"/>
      <c r="AT65" s="273"/>
      <c r="AU65" s="273"/>
      <c r="AV65" s="273"/>
      <c r="AW65" s="273"/>
      <c r="AX65" s="273"/>
      <c r="AY65" s="273"/>
      <c r="AZ65" s="273"/>
      <c r="BA65" s="273"/>
      <c r="BB65" s="273"/>
      <c r="BC65" s="273"/>
      <c r="BD65" s="273"/>
      <c r="BE65" s="273"/>
      <c r="BF65" s="273"/>
      <c r="BG65" s="273"/>
      <c r="BH65" s="273"/>
      <c r="BI65" s="273"/>
      <c r="BJ65" s="273"/>
      <c r="BK65" s="273"/>
      <c r="BW65" s="274"/>
      <c r="BX65" s="274"/>
      <c r="BY65" s="274"/>
      <c r="BZ65" s="274"/>
      <c r="CA65" s="274"/>
      <c r="CB65" s="274"/>
      <c r="CC65" s="274"/>
      <c r="CD65" s="274"/>
      <c r="CE65" s="274"/>
      <c r="CF65" s="274"/>
      <c r="CG65" s="274"/>
      <c r="CH65" s="274"/>
      <c r="CI65" s="274"/>
      <c r="CJ65" s="274"/>
      <c r="CL65" s="275"/>
      <c r="CM65" s="275"/>
      <c r="CN65" s="275"/>
      <c r="CO65" s="275"/>
      <c r="CP65" s="275"/>
      <c r="CQ65" s="275"/>
      <c r="CR65" s="275"/>
      <c r="CS65" s="275"/>
      <c r="CT65" s="275"/>
      <c r="CU65" s="275"/>
      <c r="CV65" s="275"/>
      <c r="CW65" s="275"/>
      <c r="CX65" s="275"/>
      <c r="CY65" s="275"/>
      <c r="CZ65" s="275"/>
    </row>
    <row r="66" spans="21:104" ht="15.75" customHeight="1" x14ac:dyDescent="0.25"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  <c r="AG66" s="272"/>
      <c r="AH66" s="272"/>
      <c r="AI66" s="272"/>
      <c r="AJ66" s="272"/>
      <c r="AK66" s="272"/>
      <c r="AM66" s="273"/>
      <c r="AN66" s="273"/>
      <c r="AO66" s="273"/>
      <c r="AP66" s="273"/>
      <c r="AQ66" s="273"/>
      <c r="AR66" s="273"/>
      <c r="AS66" s="273"/>
      <c r="AT66" s="273"/>
      <c r="AU66" s="273"/>
      <c r="AV66" s="273"/>
      <c r="AW66" s="273"/>
      <c r="AX66" s="273"/>
      <c r="AY66" s="273"/>
      <c r="AZ66" s="273"/>
      <c r="BA66" s="273"/>
      <c r="BB66" s="273"/>
      <c r="BC66" s="273"/>
      <c r="BD66" s="273"/>
      <c r="BE66" s="273"/>
      <c r="BF66" s="273"/>
      <c r="BG66" s="273"/>
      <c r="BH66" s="273"/>
      <c r="BI66" s="273"/>
      <c r="BJ66" s="273"/>
      <c r="BK66" s="273"/>
      <c r="BW66" s="274"/>
      <c r="BX66" s="274"/>
      <c r="BY66" s="274"/>
      <c r="BZ66" s="274"/>
      <c r="CA66" s="274"/>
      <c r="CB66" s="274"/>
      <c r="CC66" s="274"/>
      <c r="CD66" s="274"/>
      <c r="CE66" s="274"/>
      <c r="CF66" s="274"/>
      <c r="CG66" s="274"/>
      <c r="CH66" s="274"/>
      <c r="CI66" s="274"/>
      <c r="CJ66" s="274"/>
      <c r="CL66" s="275"/>
      <c r="CM66" s="275"/>
      <c r="CN66" s="275"/>
      <c r="CO66" s="275"/>
      <c r="CP66" s="275"/>
      <c r="CQ66" s="275"/>
      <c r="CR66" s="275"/>
      <c r="CS66" s="275"/>
      <c r="CT66" s="275"/>
      <c r="CU66" s="275"/>
      <c r="CV66" s="275"/>
      <c r="CW66" s="275"/>
      <c r="CX66" s="275"/>
      <c r="CY66" s="275"/>
      <c r="CZ66" s="275"/>
    </row>
    <row r="67" spans="21:104" ht="15.75" customHeight="1" x14ac:dyDescent="0.25"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272"/>
      <c r="AK67" s="272"/>
      <c r="AM67" s="273"/>
      <c r="AN67" s="273"/>
      <c r="AO67" s="273"/>
      <c r="AP67" s="273"/>
      <c r="AQ67" s="273"/>
      <c r="AR67" s="273"/>
      <c r="AS67" s="273"/>
      <c r="AT67" s="273"/>
      <c r="AU67" s="273"/>
      <c r="AV67" s="273"/>
      <c r="AW67" s="273"/>
      <c r="AX67" s="273"/>
      <c r="AY67" s="273"/>
      <c r="AZ67" s="273"/>
      <c r="BA67" s="273"/>
      <c r="BB67" s="273"/>
      <c r="BC67" s="273"/>
      <c r="BD67" s="273"/>
      <c r="BE67" s="273"/>
      <c r="BF67" s="273"/>
      <c r="BG67" s="273"/>
      <c r="BH67" s="273"/>
      <c r="BI67" s="273"/>
      <c r="BJ67" s="273"/>
      <c r="BK67" s="273"/>
      <c r="BW67" s="274"/>
      <c r="BX67" s="274"/>
      <c r="BY67" s="274"/>
      <c r="BZ67" s="274"/>
      <c r="CA67" s="274"/>
      <c r="CB67" s="274"/>
      <c r="CC67" s="274"/>
      <c r="CD67" s="274"/>
      <c r="CE67" s="274"/>
      <c r="CF67" s="274"/>
      <c r="CG67" s="274"/>
      <c r="CH67" s="274"/>
      <c r="CI67" s="274"/>
      <c r="CJ67" s="274"/>
      <c r="CL67" s="275"/>
      <c r="CM67" s="275"/>
      <c r="CN67" s="275"/>
      <c r="CO67" s="275"/>
      <c r="CP67" s="275"/>
      <c r="CQ67" s="275"/>
      <c r="CR67" s="275"/>
      <c r="CS67" s="275"/>
      <c r="CT67" s="275"/>
      <c r="CU67" s="275"/>
      <c r="CV67" s="275"/>
      <c r="CW67" s="275"/>
      <c r="CX67" s="275"/>
      <c r="CY67" s="275"/>
      <c r="CZ67" s="275"/>
    </row>
    <row r="68" spans="21:104" ht="15.75" customHeight="1" x14ac:dyDescent="0.25"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272"/>
      <c r="AK68" s="272"/>
      <c r="AM68" s="273"/>
      <c r="AN68" s="273"/>
      <c r="AO68" s="273"/>
      <c r="AP68" s="273"/>
      <c r="AQ68" s="273"/>
      <c r="AR68" s="273"/>
      <c r="AS68" s="273"/>
      <c r="AT68" s="273"/>
      <c r="AU68" s="273"/>
      <c r="AV68" s="273"/>
      <c r="AW68" s="273"/>
      <c r="AX68" s="273"/>
      <c r="AY68" s="273"/>
      <c r="AZ68" s="273"/>
      <c r="BA68" s="273"/>
      <c r="BB68" s="273"/>
      <c r="BC68" s="273"/>
      <c r="BD68" s="273"/>
      <c r="BE68" s="273"/>
      <c r="BF68" s="273"/>
      <c r="BG68" s="273"/>
      <c r="BH68" s="273"/>
      <c r="BI68" s="273"/>
      <c r="BJ68" s="273"/>
      <c r="BK68" s="273"/>
      <c r="BW68" s="274"/>
      <c r="BX68" s="274"/>
      <c r="BY68" s="274"/>
      <c r="BZ68" s="274"/>
      <c r="CA68" s="274"/>
      <c r="CB68" s="274"/>
      <c r="CC68" s="274"/>
      <c r="CD68" s="274"/>
      <c r="CE68" s="274"/>
      <c r="CF68" s="274"/>
      <c r="CG68" s="274"/>
      <c r="CH68" s="274"/>
      <c r="CI68" s="274"/>
      <c r="CJ68" s="274"/>
      <c r="CL68" s="275"/>
      <c r="CM68" s="275"/>
      <c r="CN68" s="275"/>
      <c r="CO68" s="275"/>
      <c r="CP68" s="275"/>
      <c r="CQ68" s="275"/>
      <c r="CR68" s="275"/>
      <c r="CS68" s="275"/>
      <c r="CT68" s="275"/>
      <c r="CU68" s="275"/>
      <c r="CV68" s="275"/>
      <c r="CW68" s="275"/>
      <c r="CX68" s="275"/>
      <c r="CY68" s="275"/>
      <c r="CZ68" s="275"/>
    </row>
    <row r="69" spans="21:104" ht="15" customHeight="1" x14ac:dyDescent="0.25"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272"/>
      <c r="AH69" s="272"/>
      <c r="AI69" s="272"/>
      <c r="AJ69" s="272"/>
      <c r="AK69" s="272"/>
      <c r="AM69" s="273"/>
      <c r="AN69" s="273"/>
      <c r="AO69" s="273"/>
      <c r="AP69" s="273"/>
      <c r="AQ69" s="273"/>
      <c r="AR69" s="273"/>
      <c r="AS69" s="273"/>
      <c r="AT69" s="273"/>
      <c r="AU69" s="273"/>
      <c r="AV69" s="273"/>
      <c r="AW69" s="273"/>
      <c r="AX69" s="273"/>
      <c r="AY69" s="273"/>
      <c r="AZ69" s="273"/>
      <c r="BA69" s="273"/>
      <c r="BB69" s="273"/>
      <c r="BC69" s="273"/>
      <c r="BD69" s="273"/>
      <c r="BE69" s="273"/>
      <c r="BF69" s="273"/>
      <c r="BG69" s="273"/>
      <c r="BH69" s="273"/>
      <c r="BI69" s="273"/>
      <c r="BJ69" s="273"/>
      <c r="BK69" s="273"/>
      <c r="BW69" s="274"/>
      <c r="BX69" s="274"/>
      <c r="BY69" s="274"/>
      <c r="BZ69" s="274"/>
      <c r="CA69" s="274"/>
      <c r="CB69" s="274"/>
      <c r="CC69" s="274"/>
      <c r="CD69" s="274"/>
      <c r="CE69" s="274"/>
      <c r="CF69" s="274"/>
      <c r="CG69" s="274"/>
      <c r="CH69" s="274"/>
      <c r="CI69" s="274"/>
      <c r="CJ69" s="274"/>
      <c r="CL69" s="275"/>
      <c r="CM69" s="275"/>
      <c r="CN69" s="275"/>
      <c r="CO69" s="275"/>
      <c r="CP69" s="275"/>
      <c r="CQ69" s="275"/>
      <c r="CR69" s="275"/>
      <c r="CS69" s="275"/>
      <c r="CT69" s="275"/>
      <c r="CU69" s="275"/>
      <c r="CV69" s="275"/>
      <c r="CW69" s="275"/>
      <c r="CX69" s="275"/>
      <c r="CY69" s="275"/>
      <c r="CZ69" s="275"/>
    </row>
    <row r="70" spans="21:104" ht="15" customHeight="1" x14ac:dyDescent="0.25"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272"/>
      <c r="AH70" s="272"/>
      <c r="AI70" s="272"/>
      <c r="AJ70" s="272"/>
      <c r="AK70" s="272"/>
      <c r="AM70" s="273"/>
      <c r="AN70" s="273"/>
      <c r="AO70" s="273"/>
      <c r="AP70" s="273"/>
      <c r="AQ70" s="273"/>
      <c r="AR70" s="273"/>
      <c r="AS70" s="273"/>
      <c r="AT70" s="273"/>
      <c r="AU70" s="273"/>
      <c r="AV70" s="273"/>
      <c r="AW70" s="273"/>
      <c r="AX70" s="273"/>
      <c r="AY70" s="273"/>
      <c r="AZ70" s="273"/>
      <c r="BA70" s="273"/>
      <c r="BB70" s="273"/>
      <c r="BC70" s="273"/>
      <c r="BD70" s="273"/>
      <c r="BE70" s="273"/>
      <c r="BF70" s="273"/>
      <c r="BG70" s="273"/>
      <c r="BH70" s="273"/>
      <c r="BI70" s="273"/>
      <c r="BJ70" s="273"/>
      <c r="BK70" s="273"/>
      <c r="BW70" s="274"/>
      <c r="BX70" s="274"/>
      <c r="BY70" s="274"/>
      <c r="BZ70" s="274"/>
      <c r="CA70" s="274"/>
      <c r="CB70" s="274"/>
      <c r="CC70" s="274"/>
      <c r="CD70" s="274"/>
      <c r="CE70" s="274"/>
      <c r="CF70" s="274"/>
      <c r="CG70" s="274"/>
      <c r="CH70" s="274"/>
      <c r="CI70" s="274"/>
      <c r="CJ70" s="274"/>
      <c r="CL70" s="275"/>
      <c r="CM70" s="275"/>
      <c r="CN70" s="275"/>
      <c r="CO70" s="275"/>
      <c r="CP70" s="275"/>
      <c r="CQ70" s="275"/>
      <c r="CR70" s="275"/>
      <c r="CS70" s="275"/>
      <c r="CT70" s="275"/>
      <c r="CU70" s="275"/>
      <c r="CV70" s="275"/>
      <c r="CW70" s="275"/>
      <c r="CX70" s="275"/>
      <c r="CY70" s="275"/>
      <c r="CZ70" s="275"/>
    </row>
    <row r="71" spans="21:104" ht="15.75" customHeight="1" x14ac:dyDescent="0.25"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272"/>
      <c r="AH71" s="272"/>
      <c r="AI71" s="272"/>
      <c r="AJ71" s="272"/>
      <c r="AK71" s="272"/>
      <c r="AM71" s="273"/>
      <c r="AN71" s="273"/>
      <c r="AO71" s="273"/>
      <c r="AP71" s="273"/>
      <c r="AQ71" s="273"/>
      <c r="AR71" s="273"/>
      <c r="AS71" s="273"/>
      <c r="AT71" s="273"/>
      <c r="AU71" s="273"/>
      <c r="AV71" s="273"/>
      <c r="AW71" s="273"/>
      <c r="AX71" s="273"/>
      <c r="AY71" s="273"/>
      <c r="AZ71" s="273"/>
      <c r="BA71" s="273"/>
      <c r="BB71" s="273"/>
      <c r="BC71" s="273"/>
      <c r="BD71" s="273"/>
      <c r="BE71" s="273"/>
      <c r="BF71" s="273"/>
      <c r="BG71" s="273"/>
      <c r="BH71" s="273"/>
      <c r="BI71" s="273"/>
      <c r="BJ71" s="273"/>
      <c r="BK71" s="273"/>
      <c r="BW71" s="274"/>
      <c r="BX71" s="274"/>
      <c r="BY71" s="274"/>
      <c r="BZ71" s="274"/>
      <c r="CA71" s="274"/>
      <c r="CB71" s="274"/>
      <c r="CC71" s="274"/>
      <c r="CD71" s="274"/>
      <c r="CE71" s="274"/>
      <c r="CF71" s="274"/>
      <c r="CG71" s="274"/>
      <c r="CH71" s="274"/>
      <c r="CI71" s="274"/>
      <c r="CJ71" s="274"/>
      <c r="CL71" s="275"/>
      <c r="CM71" s="275"/>
      <c r="CN71" s="275"/>
      <c r="CO71" s="275"/>
      <c r="CP71" s="275"/>
      <c r="CQ71" s="275"/>
      <c r="CR71" s="275"/>
      <c r="CS71" s="275"/>
      <c r="CT71" s="275"/>
      <c r="CU71" s="275"/>
      <c r="CV71" s="275"/>
      <c r="CW71" s="275"/>
      <c r="CX71" s="275"/>
      <c r="CY71" s="275"/>
      <c r="CZ71" s="275"/>
    </row>
    <row r="72" spans="21:104" ht="15" customHeight="1" x14ac:dyDescent="0.25"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272"/>
      <c r="AH72" s="272"/>
      <c r="AI72" s="272"/>
      <c r="AJ72" s="272"/>
      <c r="AK72" s="272"/>
      <c r="AM72" s="273"/>
      <c r="AN72" s="273"/>
      <c r="AO72" s="273"/>
      <c r="AP72" s="273"/>
      <c r="AQ72" s="273"/>
      <c r="AR72" s="273"/>
      <c r="AS72" s="273"/>
      <c r="AT72" s="273"/>
      <c r="AU72" s="273"/>
      <c r="AV72" s="273"/>
      <c r="AW72" s="273"/>
      <c r="AX72" s="273"/>
      <c r="AY72" s="273"/>
      <c r="AZ72" s="273"/>
      <c r="BA72" s="273"/>
      <c r="BB72" s="273"/>
      <c r="BC72" s="273"/>
      <c r="BD72" s="273"/>
      <c r="BE72" s="273"/>
      <c r="BF72" s="273"/>
      <c r="BG72" s="273"/>
      <c r="BH72" s="273"/>
      <c r="BI72" s="273"/>
      <c r="BJ72" s="273"/>
      <c r="BK72" s="273"/>
      <c r="BW72" s="274"/>
      <c r="BX72" s="274"/>
      <c r="BY72" s="274"/>
      <c r="BZ72" s="274"/>
      <c r="CA72" s="274"/>
      <c r="CB72" s="274"/>
      <c r="CC72" s="274"/>
      <c r="CD72" s="274"/>
      <c r="CE72" s="274"/>
      <c r="CF72" s="274"/>
      <c r="CG72" s="274"/>
      <c r="CH72" s="274"/>
      <c r="CI72" s="274"/>
      <c r="CJ72" s="274"/>
      <c r="CL72" s="275"/>
      <c r="CM72" s="275"/>
      <c r="CN72" s="275"/>
      <c r="CO72" s="275"/>
      <c r="CP72" s="275"/>
      <c r="CQ72" s="275"/>
      <c r="CR72" s="275"/>
      <c r="CS72" s="275"/>
      <c r="CT72" s="275"/>
      <c r="CU72" s="275"/>
      <c r="CV72" s="275"/>
      <c r="CW72" s="275"/>
      <c r="CX72" s="275"/>
      <c r="CY72" s="275"/>
      <c r="CZ72" s="275"/>
    </row>
    <row r="73" spans="21:104" ht="15" customHeight="1" x14ac:dyDescent="0.25"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272"/>
      <c r="AH73" s="272"/>
      <c r="AI73" s="272"/>
      <c r="AJ73" s="272"/>
      <c r="AK73" s="272"/>
      <c r="AM73" s="273"/>
      <c r="AN73" s="273"/>
      <c r="AO73" s="273"/>
      <c r="AP73" s="273"/>
      <c r="AQ73" s="273"/>
      <c r="AR73" s="273"/>
      <c r="AS73" s="273"/>
      <c r="AT73" s="273"/>
      <c r="AU73" s="273"/>
      <c r="AV73" s="273"/>
      <c r="AW73" s="273"/>
      <c r="AX73" s="273"/>
      <c r="AY73" s="273"/>
      <c r="AZ73" s="273"/>
      <c r="BA73" s="273"/>
      <c r="BB73" s="273"/>
      <c r="BC73" s="273"/>
      <c r="BD73" s="273"/>
      <c r="BE73" s="273"/>
      <c r="BF73" s="273"/>
      <c r="BG73" s="273"/>
      <c r="BH73" s="273"/>
      <c r="BI73" s="273"/>
      <c r="BJ73" s="273"/>
      <c r="BK73" s="273"/>
      <c r="BW73" s="274"/>
      <c r="BX73" s="274"/>
      <c r="BY73" s="274"/>
      <c r="BZ73" s="274"/>
      <c r="CA73" s="274"/>
      <c r="CB73" s="274"/>
      <c r="CC73" s="274"/>
      <c r="CD73" s="274"/>
      <c r="CE73" s="274"/>
      <c r="CF73" s="274"/>
      <c r="CG73" s="274"/>
      <c r="CH73" s="274"/>
      <c r="CI73" s="274"/>
      <c r="CJ73" s="274"/>
      <c r="CL73" s="275"/>
      <c r="CM73" s="275"/>
      <c r="CN73" s="275"/>
      <c r="CO73" s="275"/>
      <c r="CP73" s="275"/>
      <c r="CQ73" s="275"/>
      <c r="CR73" s="275"/>
      <c r="CS73" s="275"/>
      <c r="CT73" s="275"/>
      <c r="CU73" s="275"/>
      <c r="CV73" s="275"/>
      <c r="CW73" s="275"/>
      <c r="CX73" s="275"/>
      <c r="CY73" s="275"/>
      <c r="CZ73" s="275"/>
    </row>
    <row r="74" spans="21:104" ht="15.75" customHeight="1" x14ac:dyDescent="0.25"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272"/>
      <c r="AH74" s="272"/>
      <c r="AI74" s="272"/>
      <c r="AJ74" s="272"/>
      <c r="AK74" s="272"/>
      <c r="AM74" s="273"/>
      <c r="AN74" s="273"/>
      <c r="AO74" s="273"/>
      <c r="AP74" s="273"/>
      <c r="AQ74" s="273"/>
      <c r="AR74" s="273"/>
      <c r="AS74" s="273"/>
      <c r="AT74" s="273"/>
      <c r="AU74" s="273"/>
      <c r="AV74" s="273"/>
      <c r="AW74" s="273"/>
      <c r="AX74" s="273"/>
      <c r="AY74" s="273"/>
      <c r="AZ74" s="273"/>
      <c r="BA74" s="273"/>
      <c r="BB74" s="273"/>
      <c r="BC74" s="273"/>
      <c r="BD74" s="273"/>
      <c r="BE74" s="273"/>
      <c r="BF74" s="273"/>
      <c r="BG74" s="273"/>
      <c r="BH74" s="273"/>
      <c r="BI74" s="273"/>
      <c r="BJ74" s="273"/>
      <c r="BK74" s="273"/>
      <c r="BW74" s="274"/>
      <c r="BX74" s="274"/>
      <c r="BY74" s="274"/>
      <c r="BZ74" s="274"/>
      <c r="CA74" s="274"/>
      <c r="CB74" s="274"/>
      <c r="CC74" s="274"/>
      <c r="CD74" s="274"/>
      <c r="CE74" s="274"/>
      <c r="CF74" s="274"/>
      <c r="CG74" s="274"/>
      <c r="CH74" s="274"/>
      <c r="CI74" s="274"/>
      <c r="CJ74" s="274"/>
      <c r="CL74" s="275"/>
      <c r="CM74" s="275"/>
      <c r="CN74" s="275"/>
      <c r="CO74" s="275"/>
      <c r="CP74" s="275"/>
      <c r="CQ74" s="275"/>
      <c r="CR74" s="275"/>
      <c r="CS74" s="275"/>
      <c r="CT74" s="275"/>
      <c r="CU74" s="275"/>
      <c r="CV74" s="275"/>
      <c r="CW74" s="275"/>
      <c r="CX74" s="275"/>
      <c r="CY74" s="275"/>
      <c r="CZ74" s="275"/>
    </row>
    <row r="75" spans="21:104" ht="15.75" customHeight="1" x14ac:dyDescent="0.25"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M75" s="273"/>
      <c r="AN75" s="273"/>
      <c r="AO75" s="273"/>
      <c r="AP75" s="273"/>
      <c r="AQ75" s="273"/>
      <c r="AR75" s="273"/>
      <c r="AS75" s="273"/>
      <c r="AT75" s="273"/>
      <c r="AU75" s="273"/>
      <c r="AV75" s="273"/>
      <c r="AW75" s="273"/>
      <c r="AX75" s="273"/>
      <c r="AY75" s="273"/>
      <c r="AZ75" s="273"/>
      <c r="BA75" s="273"/>
      <c r="BB75" s="273"/>
      <c r="BC75" s="273"/>
      <c r="BD75" s="273"/>
      <c r="BE75" s="273"/>
      <c r="BF75" s="273"/>
      <c r="BG75" s="273"/>
      <c r="BH75" s="273"/>
      <c r="BI75" s="273"/>
      <c r="BJ75" s="273"/>
      <c r="BK75" s="273"/>
      <c r="BW75" s="274"/>
      <c r="BX75" s="274"/>
      <c r="BY75" s="274"/>
      <c r="BZ75" s="274"/>
      <c r="CA75" s="274"/>
      <c r="CB75" s="274"/>
      <c r="CC75" s="274"/>
      <c r="CD75" s="274"/>
      <c r="CE75" s="274"/>
      <c r="CF75" s="274"/>
      <c r="CG75" s="274"/>
      <c r="CH75" s="274"/>
      <c r="CI75" s="274"/>
      <c r="CJ75" s="274"/>
      <c r="CL75" s="275"/>
      <c r="CM75" s="275"/>
      <c r="CN75" s="275"/>
      <c r="CO75" s="275"/>
      <c r="CP75" s="275"/>
      <c r="CQ75" s="275"/>
      <c r="CR75" s="275"/>
      <c r="CS75" s="275"/>
      <c r="CT75" s="275"/>
      <c r="CU75" s="275"/>
      <c r="CV75" s="275"/>
      <c r="CW75" s="275"/>
      <c r="CX75" s="275"/>
      <c r="CY75" s="275"/>
      <c r="CZ75" s="275"/>
    </row>
    <row r="76" spans="21:104" ht="15.75" customHeight="1" x14ac:dyDescent="0.25"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272"/>
      <c r="AH76" s="272"/>
      <c r="AI76" s="272"/>
      <c r="AJ76" s="272"/>
      <c r="AK76" s="272"/>
      <c r="AM76" s="273"/>
      <c r="AN76" s="273"/>
      <c r="AO76" s="273"/>
      <c r="AP76" s="273"/>
      <c r="AQ76" s="273"/>
      <c r="AR76" s="273"/>
      <c r="AS76" s="273"/>
      <c r="AT76" s="273"/>
      <c r="AU76" s="273"/>
      <c r="AV76" s="273"/>
      <c r="AW76" s="273"/>
      <c r="AX76" s="273"/>
      <c r="AY76" s="273"/>
      <c r="AZ76" s="273"/>
      <c r="BA76" s="273"/>
      <c r="BB76" s="273"/>
      <c r="BC76" s="273"/>
      <c r="BD76" s="273"/>
      <c r="BE76" s="273"/>
      <c r="BF76" s="273"/>
      <c r="BG76" s="273"/>
      <c r="BH76" s="273"/>
      <c r="BI76" s="273"/>
      <c r="BJ76" s="273"/>
      <c r="BK76" s="273"/>
      <c r="BW76" s="274"/>
      <c r="BX76" s="274"/>
      <c r="BY76" s="274"/>
      <c r="BZ76" s="274"/>
      <c r="CA76" s="274"/>
      <c r="CB76" s="274"/>
      <c r="CC76" s="274"/>
      <c r="CD76" s="274"/>
      <c r="CE76" s="274"/>
      <c r="CF76" s="274"/>
      <c r="CG76" s="274"/>
      <c r="CH76" s="274"/>
      <c r="CI76" s="274"/>
      <c r="CJ76" s="274"/>
      <c r="CL76" s="275"/>
      <c r="CM76" s="275"/>
      <c r="CN76" s="275"/>
      <c r="CO76" s="275"/>
      <c r="CP76" s="275"/>
      <c r="CQ76" s="275"/>
      <c r="CR76" s="275"/>
      <c r="CS76" s="275"/>
      <c r="CT76" s="275"/>
      <c r="CU76" s="275"/>
      <c r="CV76" s="275"/>
      <c r="CW76" s="275"/>
      <c r="CX76" s="275"/>
      <c r="CY76" s="275"/>
      <c r="CZ76" s="275"/>
    </row>
    <row r="77" spans="21:104" x14ac:dyDescent="0.25"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272"/>
      <c r="AH77" s="272"/>
      <c r="AI77" s="272"/>
      <c r="AJ77" s="272"/>
      <c r="AK77" s="272"/>
      <c r="AM77" s="273"/>
      <c r="AN77" s="273"/>
      <c r="AO77" s="273"/>
      <c r="AP77" s="273"/>
      <c r="AQ77" s="273"/>
      <c r="AR77" s="273"/>
      <c r="AS77" s="273"/>
      <c r="AT77" s="273"/>
      <c r="AU77" s="273"/>
      <c r="AV77" s="273"/>
      <c r="AW77" s="273"/>
      <c r="AX77" s="273"/>
      <c r="AY77" s="273"/>
      <c r="AZ77" s="273"/>
      <c r="BA77" s="273"/>
      <c r="BB77" s="273"/>
      <c r="BC77" s="273"/>
      <c r="BD77" s="273"/>
      <c r="BE77" s="273"/>
      <c r="BF77" s="273"/>
      <c r="BG77" s="273"/>
      <c r="BH77" s="273"/>
      <c r="BI77" s="273"/>
      <c r="BJ77" s="273"/>
      <c r="BK77" s="273"/>
      <c r="BW77" s="274"/>
      <c r="BX77" s="274"/>
      <c r="BY77" s="274"/>
      <c r="BZ77" s="274"/>
      <c r="CA77" s="274"/>
      <c r="CB77" s="274"/>
      <c r="CC77" s="274"/>
      <c r="CD77" s="274"/>
      <c r="CE77" s="274"/>
      <c r="CF77" s="274"/>
      <c r="CG77" s="274"/>
      <c r="CH77" s="274"/>
      <c r="CI77" s="274"/>
      <c r="CJ77" s="274"/>
      <c r="CL77" s="275"/>
      <c r="CM77" s="275"/>
      <c r="CN77" s="275"/>
      <c r="CO77" s="275"/>
      <c r="CP77" s="275"/>
      <c r="CQ77" s="275"/>
      <c r="CR77" s="275"/>
      <c r="CS77" s="275"/>
      <c r="CT77" s="275"/>
      <c r="CU77" s="275"/>
      <c r="CV77" s="275"/>
      <c r="CW77" s="275"/>
      <c r="CX77" s="275"/>
      <c r="CY77" s="275"/>
      <c r="CZ77" s="275"/>
    </row>
    <row r="78" spans="21:104" ht="15" customHeight="1" x14ac:dyDescent="0.25">
      <c r="AM78" s="273"/>
      <c r="AN78" s="273"/>
      <c r="AO78" s="273"/>
      <c r="AP78" s="273"/>
      <c r="AQ78" s="273"/>
      <c r="AR78" s="273"/>
      <c r="AS78" s="273"/>
      <c r="AT78" s="273"/>
      <c r="AU78" s="273"/>
      <c r="AV78" s="273"/>
      <c r="AW78" s="273"/>
      <c r="AX78" s="273"/>
      <c r="AY78" s="273"/>
      <c r="AZ78" s="273"/>
      <c r="BA78" s="273"/>
      <c r="BB78" s="273"/>
      <c r="BC78" s="273"/>
      <c r="BD78" s="273"/>
      <c r="BE78" s="273"/>
      <c r="BF78" s="273"/>
      <c r="BG78" s="273"/>
      <c r="BH78" s="273"/>
      <c r="BI78" s="273"/>
      <c r="BJ78" s="273"/>
      <c r="BK78" s="273"/>
      <c r="CL78" s="275"/>
      <c r="CM78" s="275"/>
      <c r="CN78" s="275"/>
      <c r="CO78" s="275"/>
      <c r="CP78" s="275"/>
      <c r="CQ78" s="275"/>
      <c r="CR78" s="275"/>
      <c r="CS78" s="275"/>
      <c r="CT78" s="275"/>
      <c r="CU78" s="275"/>
      <c r="CV78" s="275"/>
      <c r="CW78" s="275"/>
      <c r="CX78" s="275"/>
      <c r="CY78" s="275"/>
      <c r="CZ78" s="275"/>
    </row>
    <row r="79" spans="21:104" ht="15" customHeight="1" x14ac:dyDescent="0.25">
      <c r="AM79" s="273"/>
      <c r="AN79" s="273"/>
      <c r="AO79" s="273"/>
      <c r="AP79" s="273"/>
      <c r="AQ79" s="273"/>
      <c r="AR79" s="273"/>
      <c r="AS79" s="273"/>
      <c r="AT79" s="273"/>
      <c r="AU79" s="273"/>
      <c r="AV79" s="273"/>
      <c r="AW79" s="273"/>
      <c r="AX79" s="273"/>
      <c r="AY79" s="273"/>
      <c r="AZ79" s="273"/>
      <c r="BA79" s="273"/>
      <c r="BB79" s="273"/>
      <c r="BC79" s="273"/>
      <c r="BD79" s="273"/>
      <c r="BE79" s="273"/>
      <c r="BF79" s="273"/>
      <c r="BG79" s="273"/>
      <c r="BH79" s="273"/>
      <c r="BI79" s="273"/>
      <c r="BJ79" s="273"/>
      <c r="BK79" s="273"/>
      <c r="CL79" s="275"/>
      <c r="CM79" s="275"/>
      <c r="CN79" s="275"/>
      <c r="CO79" s="275"/>
      <c r="CP79" s="275"/>
      <c r="CQ79" s="275"/>
      <c r="CR79" s="275"/>
      <c r="CS79" s="275"/>
      <c r="CT79" s="275"/>
      <c r="CU79" s="275"/>
      <c r="CV79" s="275"/>
      <c r="CW79" s="275"/>
      <c r="CX79" s="275"/>
      <c r="CY79" s="275"/>
      <c r="CZ79" s="275"/>
    </row>
    <row r="80" spans="21:104" ht="15" customHeight="1" x14ac:dyDescent="0.25">
      <c r="AM80" s="273"/>
      <c r="AN80" s="273"/>
      <c r="AO80" s="273"/>
      <c r="AP80" s="273"/>
      <c r="AQ80" s="273"/>
      <c r="AR80" s="273"/>
      <c r="AS80" s="273"/>
      <c r="AT80" s="273"/>
      <c r="AU80" s="273"/>
      <c r="AV80" s="273"/>
      <c r="AW80" s="273"/>
      <c r="AX80" s="273"/>
      <c r="AY80" s="273"/>
      <c r="AZ80" s="273"/>
      <c r="BA80" s="273"/>
      <c r="BB80" s="273"/>
      <c r="BC80" s="273"/>
      <c r="BD80" s="273"/>
      <c r="BE80" s="273"/>
      <c r="BF80" s="273"/>
      <c r="BG80" s="273"/>
      <c r="BH80" s="273"/>
      <c r="BI80" s="273"/>
      <c r="BJ80" s="273"/>
      <c r="BK80" s="273"/>
      <c r="CL80" s="275"/>
      <c r="CM80" s="275"/>
      <c r="CN80" s="275"/>
      <c r="CO80" s="275"/>
      <c r="CP80" s="275"/>
      <c r="CQ80" s="275"/>
      <c r="CR80" s="275"/>
      <c r="CS80" s="275"/>
      <c r="CT80" s="275"/>
      <c r="CU80" s="275"/>
      <c r="CV80" s="275"/>
      <c r="CW80" s="275"/>
      <c r="CX80" s="275"/>
      <c r="CY80" s="275"/>
      <c r="CZ80" s="275"/>
    </row>
    <row r="81" spans="39:104" ht="15" customHeight="1" x14ac:dyDescent="0.25">
      <c r="AM81" s="273"/>
      <c r="AN81" s="273"/>
      <c r="AO81" s="273"/>
      <c r="AP81" s="273"/>
      <c r="AQ81" s="273"/>
      <c r="AR81" s="273"/>
      <c r="AS81" s="273"/>
      <c r="AT81" s="273"/>
      <c r="AU81" s="273"/>
      <c r="AV81" s="273"/>
      <c r="AW81" s="273"/>
      <c r="AX81" s="273"/>
      <c r="AY81" s="273"/>
      <c r="AZ81" s="273"/>
      <c r="BA81" s="273"/>
      <c r="BB81" s="273"/>
      <c r="BC81" s="273"/>
      <c r="BD81" s="273"/>
      <c r="BE81" s="273"/>
      <c r="BF81" s="273"/>
      <c r="BG81" s="273"/>
      <c r="BH81" s="273"/>
      <c r="BI81" s="273"/>
      <c r="BJ81" s="273"/>
      <c r="BK81" s="273"/>
      <c r="CL81" s="275"/>
      <c r="CM81" s="275"/>
      <c r="CN81" s="275"/>
      <c r="CO81" s="275"/>
      <c r="CP81" s="275"/>
      <c r="CQ81" s="275"/>
      <c r="CR81" s="275"/>
      <c r="CS81" s="275"/>
      <c r="CT81" s="275"/>
      <c r="CU81" s="275"/>
      <c r="CV81" s="275"/>
      <c r="CW81" s="275"/>
      <c r="CX81" s="275"/>
      <c r="CY81" s="275"/>
      <c r="CZ81" s="275"/>
    </row>
    <row r="82" spans="39:104" ht="15" customHeight="1" x14ac:dyDescent="0.25">
      <c r="AM82" s="273"/>
      <c r="AN82" s="273"/>
      <c r="AO82" s="273"/>
      <c r="AP82" s="273"/>
      <c r="AQ82" s="273"/>
      <c r="AR82" s="273"/>
      <c r="AS82" s="273"/>
      <c r="AT82" s="273"/>
      <c r="AU82" s="273"/>
      <c r="AV82" s="273"/>
      <c r="AW82" s="273"/>
      <c r="AX82" s="273"/>
      <c r="AY82" s="273"/>
      <c r="AZ82" s="273"/>
      <c r="BA82" s="273"/>
      <c r="BB82" s="273"/>
      <c r="BC82" s="273"/>
      <c r="BD82" s="273"/>
      <c r="BE82" s="273"/>
      <c r="BF82" s="273"/>
      <c r="BG82" s="273"/>
      <c r="BH82" s="273"/>
      <c r="BI82" s="273"/>
      <c r="BJ82" s="273"/>
      <c r="BK82" s="273"/>
      <c r="CL82" s="275"/>
      <c r="CM82" s="275"/>
      <c r="CN82" s="275"/>
      <c r="CO82" s="275"/>
      <c r="CP82" s="275"/>
      <c r="CQ82" s="275"/>
      <c r="CR82" s="275"/>
      <c r="CS82" s="275"/>
      <c r="CT82" s="275"/>
      <c r="CU82" s="275"/>
      <c r="CV82" s="275"/>
      <c r="CW82" s="275"/>
      <c r="CX82" s="275"/>
      <c r="CY82" s="275"/>
      <c r="CZ82" s="275"/>
    </row>
    <row r="83" spans="39:104" ht="15" customHeight="1" x14ac:dyDescent="0.25">
      <c r="AM83" s="273"/>
      <c r="AN83" s="273"/>
      <c r="AO83" s="273"/>
      <c r="AP83" s="273"/>
      <c r="AQ83" s="273"/>
      <c r="AR83" s="273"/>
      <c r="AS83" s="273"/>
      <c r="AT83" s="273"/>
      <c r="AU83" s="273"/>
      <c r="AV83" s="273"/>
      <c r="AW83" s="273"/>
      <c r="AX83" s="273"/>
      <c r="AY83" s="273"/>
      <c r="AZ83" s="273"/>
      <c r="BA83" s="273"/>
      <c r="BB83" s="273"/>
      <c r="BC83" s="273"/>
      <c r="BD83" s="273"/>
      <c r="BE83" s="273"/>
      <c r="BF83" s="273"/>
      <c r="BG83" s="273"/>
      <c r="BH83" s="273"/>
      <c r="BI83" s="273"/>
      <c r="BJ83" s="273"/>
      <c r="BK83" s="273"/>
      <c r="CL83" s="275"/>
      <c r="CM83" s="275"/>
      <c r="CN83" s="275"/>
      <c r="CO83" s="275"/>
      <c r="CP83" s="275"/>
      <c r="CQ83" s="275"/>
      <c r="CR83" s="275"/>
      <c r="CS83" s="275"/>
      <c r="CT83" s="275"/>
      <c r="CU83" s="275"/>
      <c r="CV83" s="275"/>
      <c r="CW83" s="275"/>
      <c r="CX83" s="275"/>
      <c r="CY83" s="275"/>
      <c r="CZ83" s="275"/>
    </row>
    <row r="84" spans="39:104" ht="15" customHeight="1" x14ac:dyDescent="0.25">
      <c r="CL84" s="275"/>
      <c r="CM84" s="275"/>
      <c r="CN84" s="275"/>
      <c r="CO84" s="275"/>
      <c r="CP84" s="275"/>
      <c r="CQ84" s="275"/>
      <c r="CR84" s="275"/>
      <c r="CS84" s="275"/>
      <c r="CT84" s="275"/>
      <c r="CU84" s="275"/>
      <c r="CV84" s="275"/>
      <c r="CW84" s="275"/>
      <c r="CX84" s="275"/>
      <c r="CY84" s="275"/>
      <c r="CZ84" s="275"/>
    </row>
    <row r="85" spans="39:104" ht="15" customHeight="1" x14ac:dyDescent="0.25">
      <c r="CL85" s="275"/>
      <c r="CM85" s="275"/>
      <c r="CN85" s="275"/>
      <c r="CO85" s="275"/>
      <c r="CP85" s="275"/>
      <c r="CQ85" s="275"/>
      <c r="CR85" s="275"/>
      <c r="CS85" s="275"/>
      <c r="CT85" s="275"/>
      <c r="CU85" s="275"/>
      <c r="CV85" s="275"/>
      <c r="CW85" s="275"/>
      <c r="CX85" s="275"/>
      <c r="CY85" s="275"/>
      <c r="CZ85" s="275"/>
    </row>
  </sheetData>
  <mergeCells count="108">
    <mergeCell ref="CV21:CZ21"/>
    <mergeCell ref="CV22:CV23"/>
    <mergeCell ref="CW22:CW23"/>
    <mergeCell ref="CX22:CX23"/>
    <mergeCell ref="CY22:CY23"/>
    <mergeCell ref="CZ22:CZ23"/>
    <mergeCell ref="CL12:CL13"/>
    <mergeCell ref="CM12:CM13"/>
    <mergeCell ref="CN12:CN13"/>
    <mergeCell ref="CO12:CO13"/>
    <mergeCell ref="CX12:CX13"/>
    <mergeCell ref="CY12:CY13"/>
    <mergeCell ref="CV12:CV13"/>
    <mergeCell ref="CW12:CW13"/>
    <mergeCell ref="CP12:CP13"/>
    <mergeCell ref="CV11:CZ11"/>
    <mergeCell ref="U19:U21"/>
    <mergeCell ref="U16:U18"/>
    <mergeCell ref="BW2:CD2"/>
    <mergeCell ref="CI4:CI6"/>
    <mergeCell ref="CJ4:CJ6"/>
    <mergeCell ref="CI7:CI9"/>
    <mergeCell ref="CJ7:CJ9"/>
    <mergeCell ref="CI10:CI12"/>
    <mergeCell ref="CJ10:CJ12"/>
    <mergeCell ref="CI13:CI15"/>
    <mergeCell ref="CM3:CO3"/>
    <mergeCell ref="CM4:CO4"/>
    <mergeCell ref="CM5:CO5"/>
    <mergeCell ref="CM6:CO6"/>
    <mergeCell ref="CM7:CO7"/>
    <mergeCell ref="AM10:AM12"/>
    <mergeCell ref="AM7:AM9"/>
    <mergeCell ref="CM8:CO8"/>
    <mergeCell ref="CM9:CO9"/>
    <mergeCell ref="CZ12:CZ13"/>
    <mergeCell ref="CI16:CI18"/>
    <mergeCell ref="CJ16:CJ18"/>
    <mergeCell ref="CF16:CF18"/>
    <mergeCell ref="CH16:CH18"/>
    <mergeCell ref="CI19:CI21"/>
    <mergeCell ref="BW4:BW8"/>
    <mergeCell ref="BW9:BW13"/>
    <mergeCell ref="BW14:BW18"/>
    <mergeCell ref="CQ12:CQ13"/>
    <mergeCell ref="CQ11:CU11"/>
    <mergeCell ref="CU12:CU13"/>
    <mergeCell ref="CR12:CR13"/>
    <mergeCell ref="CT12:CT13"/>
    <mergeCell ref="CF19:CF21"/>
    <mergeCell ref="CL11:CP11"/>
    <mergeCell ref="CH10:CH12"/>
    <mergeCell ref="CH13:CH15"/>
    <mergeCell ref="CF10:CF12"/>
    <mergeCell ref="CJ19:CJ21"/>
    <mergeCell ref="B2:N2"/>
    <mergeCell ref="B19:B21"/>
    <mergeCell ref="B16:B18"/>
    <mergeCell ref="B13:B15"/>
    <mergeCell ref="B10:B12"/>
    <mergeCell ref="B7:B9"/>
    <mergeCell ref="B4:B6"/>
    <mergeCell ref="AM2:BC2"/>
    <mergeCell ref="P13:R13"/>
    <mergeCell ref="AM19:AM21"/>
    <mergeCell ref="AM16:AM18"/>
    <mergeCell ref="AM13:AM15"/>
    <mergeCell ref="P14:R14"/>
    <mergeCell ref="P15:R15"/>
    <mergeCell ref="P16:R16"/>
    <mergeCell ref="P6:S6"/>
    <mergeCell ref="CF4:CF6"/>
    <mergeCell ref="CF7:CF9"/>
    <mergeCell ref="CF13:CF15"/>
    <mergeCell ref="CJ13:CJ15"/>
    <mergeCell ref="P11:S11"/>
    <mergeCell ref="U13:U15"/>
    <mergeCell ref="U10:U12"/>
    <mergeCell ref="U7:U9"/>
    <mergeCell ref="U4:U6"/>
    <mergeCell ref="P12:R12"/>
    <mergeCell ref="U2:AK2"/>
    <mergeCell ref="AM4:AM6"/>
    <mergeCell ref="T38:T40"/>
    <mergeCell ref="CL2:CS2"/>
    <mergeCell ref="CS12:CS13"/>
    <mergeCell ref="T41:T43"/>
    <mergeCell ref="T44:T46"/>
    <mergeCell ref="T47:T49"/>
    <mergeCell ref="T30:Z30"/>
    <mergeCell ref="T32:T34"/>
    <mergeCell ref="T35:T37"/>
    <mergeCell ref="BM2:BU2"/>
    <mergeCell ref="BM3:BN3"/>
    <mergeCell ref="BM5:BM8"/>
    <mergeCell ref="BM9:BM12"/>
    <mergeCell ref="BM13:BM16"/>
    <mergeCell ref="BE2:BK2"/>
    <mergeCell ref="BE4:BE7"/>
    <mergeCell ref="BE8:BE11"/>
    <mergeCell ref="BE12:BE15"/>
    <mergeCell ref="BE16:BE19"/>
    <mergeCell ref="BE20:BE23"/>
    <mergeCell ref="BE24:BE27"/>
    <mergeCell ref="CF2:CJ2"/>
    <mergeCell ref="CH19:CH21"/>
    <mergeCell ref="CH4:CH6"/>
    <mergeCell ref="CH7:CH9"/>
  </mergeCells>
  <conditionalFormatting sqref="AD19:AG19">
    <cfRule type="cellIs" dxfId="25" priority="105" operator="equal">
      <formula>$AH$19</formula>
    </cfRule>
  </conditionalFormatting>
  <conditionalFormatting sqref="AD20:AG20">
    <cfRule type="cellIs" dxfId="24" priority="104" operator="equal">
      <formula>$AH$20</formula>
    </cfRule>
  </conditionalFormatting>
  <conditionalFormatting sqref="AD16:AG16">
    <cfRule type="cellIs" dxfId="23" priority="102" operator="equal">
      <formula>$AH$16</formula>
    </cfRule>
  </conditionalFormatting>
  <conditionalFormatting sqref="AD17:AG17">
    <cfRule type="cellIs" dxfId="22" priority="101" operator="equal">
      <formula>$AH$17</formula>
    </cfRule>
  </conditionalFormatting>
  <conditionalFormatting sqref="AD18:AG18">
    <cfRule type="cellIs" dxfId="21" priority="100" operator="equal">
      <formula>$AH$18</formula>
    </cfRule>
  </conditionalFormatting>
  <conditionalFormatting sqref="AD13:AG13">
    <cfRule type="cellIs" dxfId="20" priority="99" operator="equal">
      <formula>$AH$13</formula>
    </cfRule>
  </conditionalFormatting>
  <conditionalFormatting sqref="AD14:AG14">
    <cfRule type="cellIs" dxfId="19" priority="98" operator="equal">
      <formula>$AH$14</formula>
    </cfRule>
  </conditionalFormatting>
  <conditionalFormatting sqref="AD15:AG15">
    <cfRule type="cellIs" dxfId="18" priority="97" operator="equal">
      <formula>$AH$15</formula>
    </cfRule>
  </conditionalFormatting>
  <conditionalFormatting sqref="AD10:AG10">
    <cfRule type="cellIs" dxfId="17" priority="96" operator="equal">
      <formula>$AH$10</formula>
    </cfRule>
  </conditionalFormatting>
  <conditionalFormatting sqref="AD11:AG11">
    <cfRule type="cellIs" dxfId="16" priority="95" operator="equal">
      <formula>$AH$11</formula>
    </cfRule>
  </conditionalFormatting>
  <conditionalFormatting sqref="AD12:AG12">
    <cfRule type="cellIs" dxfId="15" priority="94" operator="equal">
      <formula>$AH$12</formula>
    </cfRule>
  </conditionalFormatting>
  <conditionalFormatting sqref="AD7:AG7">
    <cfRule type="cellIs" dxfId="14" priority="93" operator="equal">
      <formula>$AH$7</formula>
    </cfRule>
  </conditionalFormatting>
  <conditionalFormatting sqref="AD8:AG8">
    <cfRule type="cellIs" dxfId="13" priority="92" operator="equal">
      <formula>$AH$8</formula>
    </cfRule>
  </conditionalFormatting>
  <conditionalFormatting sqref="AD9:AG9">
    <cfRule type="cellIs" dxfId="12" priority="91" operator="equal">
      <formula>$AH$9</formula>
    </cfRule>
  </conditionalFormatting>
  <conditionalFormatting sqref="AD4:AG4">
    <cfRule type="cellIs" dxfId="11" priority="90" operator="equal">
      <formula>$AH$4</formula>
    </cfRule>
  </conditionalFormatting>
  <conditionalFormatting sqref="AD5:AG5">
    <cfRule type="cellIs" dxfId="10" priority="89" operator="equal">
      <formula>$AH$5</formula>
    </cfRule>
  </conditionalFormatting>
  <conditionalFormatting sqref="AD6:AG6">
    <cfRule type="cellIs" dxfId="9" priority="88" operator="equal">
      <formula>$AH$6</formula>
    </cfRule>
  </conditionalFormatting>
  <conditionalFormatting sqref="AD21:AG28">
    <cfRule type="cellIs" dxfId="8" priority="13" operator="equal">
      <formula>$AH$21</formula>
    </cfRule>
  </conditionalFormatting>
  <pageMargins left="0.7" right="0.7" top="0.75" bottom="0.75" header="0.3" footer="0.3"/>
  <pageSetup paperSize="9" orientation="portrait" r:id="rId1"/>
  <ignoredErrors>
    <ignoredError sqref="H1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9E583-41E2-4646-9E86-40077290938D}">
  <sheetPr codeName="Sheet5"/>
  <dimension ref="B1:AP70"/>
  <sheetViews>
    <sheetView topLeftCell="A34" zoomScale="80" zoomScaleNormal="80" workbookViewId="0">
      <selection activeCell="F64" sqref="F64"/>
    </sheetView>
  </sheetViews>
  <sheetFormatPr defaultRowHeight="15.75" x14ac:dyDescent="0.25"/>
  <cols>
    <col min="1" max="1" width="9.140625" style="6"/>
    <col min="2" max="2" width="4.42578125" style="6" bestFit="1" customWidth="1"/>
    <col min="3" max="3" width="10.85546875" style="6" bestFit="1" customWidth="1"/>
    <col min="4" max="4" width="8.5703125" style="6" bestFit="1" customWidth="1"/>
    <col min="5" max="5" width="12.85546875" style="6" bestFit="1" customWidth="1"/>
    <col min="6" max="6" width="14.28515625" style="6" bestFit="1" customWidth="1"/>
    <col min="7" max="7" width="10.7109375" style="6" bestFit="1" customWidth="1"/>
    <col min="8" max="8" width="13.7109375" style="6" bestFit="1" customWidth="1"/>
    <col min="9" max="9" width="15.140625" style="6" bestFit="1" customWidth="1"/>
    <col min="10" max="10" width="12.42578125" style="6" bestFit="1" customWidth="1"/>
    <col min="11" max="12" width="10.85546875" style="6" bestFit="1" customWidth="1"/>
    <col min="13" max="13" width="10.42578125" style="6" bestFit="1" customWidth="1"/>
    <col min="14" max="14" width="12.42578125" style="6" bestFit="1" customWidth="1"/>
    <col min="15" max="15" width="13.42578125" style="6" bestFit="1" customWidth="1"/>
    <col min="16" max="16" width="13.85546875" style="6" bestFit="1" customWidth="1"/>
    <col min="17" max="17" width="12.140625" style="6" bestFit="1" customWidth="1"/>
    <col min="18" max="18" width="14.85546875" style="6" bestFit="1" customWidth="1"/>
    <col min="19" max="19" width="4.85546875" style="6" customWidth="1"/>
    <col min="20" max="20" width="9.140625" style="6"/>
    <col min="21" max="21" width="15.140625" style="6" bestFit="1" customWidth="1"/>
    <col min="22" max="22" width="11.28515625" style="6" bestFit="1" customWidth="1"/>
    <col min="23" max="24" width="9.140625" style="6"/>
    <col min="25" max="25" width="9.28515625" style="6" bestFit="1" customWidth="1"/>
    <col min="26" max="27" width="7.85546875" style="6" bestFit="1" customWidth="1"/>
    <col min="28" max="28" width="10.140625" style="6" bestFit="1" customWidth="1"/>
    <col min="29" max="29" width="9.28515625" style="6" bestFit="1" customWidth="1"/>
    <col min="30" max="31" width="7.85546875" style="6" bestFit="1" customWidth="1"/>
    <col min="32" max="32" width="10.140625" style="6" bestFit="1" customWidth="1"/>
    <col min="33" max="33" width="9.28515625" style="6" bestFit="1" customWidth="1"/>
    <col min="34" max="35" width="7.85546875" style="6" bestFit="1" customWidth="1"/>
    <col min="36" max="36" width="10.140625" style="6" bestFit="1" customWidth="1"/>
    <col min="37" max="16384" width="9.140625" style="6"/>
  </cols>
  <sheetData>
    <row r="1" spans="2:22" ht="16.5" thickBot="1" x14ac:dyDescent="0.3"/>
    <row r="2" spans="2:22" ht="15" customHeight="1" x14ac:dyDescent="0.25">
      <c r="B2" s="863" t="s">
        <v>312</v>
      </c>
      <c r="C2" s="864"/>
      <c r="D2" s="864"/>
      <c r="E2" s="864"/>
      <c r="F2" s="864"/>
      <c r="G2" s="864"/>
      <c r="H2" s="864"/>
      <c r="I2" s="864"/>
      <c r="J2" s="864"/>
      <c r="K2" s="864"/>
      <c r="L2" s="864"/>
      <c r="M2" s="864"/>
      <c r="N2" s="864"/>
      <c r="O2" s="864"/>
      <c r="P2" s="864"/>
      <c r="Q2" s="864"/>
      <c r="R2" s="864"/>
      <c r="S2" s="865"/>
    </row>
    <row r="3" spans="2:22" ht="15.75" customHeight="1" thickBot="1" x14ac:dyDescent="0.3">
      <c r="B3" s="866"/>
      <c r="C3" s="867"/>
      <c r="D3" s="867"/>
      <c r="E3" s="867"/>
      <c r="F3" s="867"/>
      <c r="G3" s="867"/>
      <c r="H3" s="867"/>
      <c r="I3" s="867"/>
      <c r="J3" s="867"/>
      <c r="K3" s="867"/>
      <c r="L3" s="867"/>
      <c r="M3" s="867"/>
      <c r="N3" s="867"/>
      <c r="O3" s="867"/>
      <c r="P3" s="867"/>
      <c r="Q3" s="867"/>
      <c r="R3" s="867"/>
      <c r="S3" s="868"/>
    </row>
    <row r="4" spans="2:22" ht="16.5" thickBot="1" x14ac:dyDescent="0.3">
      <c r="B4" s="7"/>
      <c r="C4" s="872" t="s">
        <v>259</v>
      </c>
      <c r="D4" s="873"/>
      <c r="E4" s="873"/>
      <c r="F4" s="873"/>
      <c r="G4" s="873"/>
      <c r="H4" s="873"/>
      <c r="I4" s="873"/>
      <c r="J4" s="874"/>
      <c r="K4" s="4"/>
      <c r="L4" s="4"/>
      <c r="M4" s="872" t="s">
        <v>263</v>
      </c>
      <c r="N4" s="873"/>
      <c r="O4" s="873"/>
      <c r="P4" s="873"/>
      <c r="Q4" s="873"/>
      <c r="R4" s="874"/>
      <c r="S4" s="8"/>
      <c r="U4" s="871" t="s">
        <v>330</v>
      </c>
      <c r="V4" s="871"/>
    </row>
    <row r="5" spans="2:22" x14ac:dyDescent="0.25">
      <c r="B5" s="7"/>
      <c r="C5" s="9" t="s">
        <v>9</v>
      </c>
      <c r="D5" s="10" t="s">
        <v>86</v>
      </c>
      <c r="E5" s="11" t="s">
        <v>236</v>
      </c>
      <c r="F5" s="11" t="s">
        <v>235</v>
      </c>
      <c r="G5" s="11" t="s">
        <v>234</v>
      </c>
      <c r="H5" s="11" t="s">
        <v>237</v>
      </c>
      <c r="I5" s="11" t="s">
        <v>238</v>
      </c>
      <c r="J5" s="12" t="s">
        <v>239</v>
      </c>
      <c r="K5" s="13"/>
      <c r="L5" s="13"/>
      <c r="M5" s="9" t="s">
        <v>9</v>
      </c>
      <c r="N5" s="11" t="s">
        <v>211</v>
      </c>
      <c r="O5" s="14" t="s">
        <v>212</v>
      </c>
      <c r="P5" s="15" t="s">
        <v>240</v>
      </c>
      <c r="Q5" s="11" t="s">
        <v>87</v>
      </c>
      <c r="R5" s="12" t="s">
        <v>197</v>
      </c>
      <c r="S5" s="8"/>
      <c r="U5" s="16" t="s">
        <v>363</v>
      </c>
      <c r="V5" s="17" t="s">
        <v>267</v>
      </c>
    </row>
    <row r="6" spans="2:22" x14ac:dyDescent="0.25">
      <c r="B6" s="7"/>
      <c r="C6" s="18">
        <v>6</v>
      </c>
      <c r="D6" s="19">
        <f>'Structural Information'!U6</f>
        <v>3</v>
      </c>
      <c r="E6" s="20">
        <f>G32*H32</f>
        <v>266.8</v>
      </c>
      <c r="F6" s="19">
        <f t="shared" ref="F6:F11" si="0">G32*H32*I32</f>
        <v>2.2176187984313733</v>
      </c>
      <c r="G6" s="21">
        <f t="shared" ref="G6:G11" si="1">F6/E6</f>
        <v>8.3119145368492249E-3</v>
      </c>
      <c r="H6" s="20">
        <f>G19*H19</f>
        <v>649.44000000000005</v>
      </c>
      <c r="I6" s="19">
        <f>'System Capacities'!G19*'System Capacities'!H19*'System Capacities'!I19</f>
        <v>1.4539648759958865</v>
      </c>
      <c r="J6" s="22">
        <f t="shared" ref="J6:J11" si="2">I6/H6</f>
        <v>2.2387978504494433E-3</v>
      </c>
      <c r="K6" s="23"/>
      <c r="L6" s="24"/>
      <c r="M6" s="18">
        <v>6</v>
      </c>
      <c r="N6" s="20">
        <f>'System Capacities'!G32</f>
        <v>88.933333333333337</v>
      </c>
      <c r="O6" s="25">
        <f>'System Capacities'!G19</f>
        <v>216.48000000000002</v>
      </c>
      <c r="P6" s="26">
        <f>_xlfn.IFS((($N$19+$N$32)=2),(D$47),(($N$19+$N$32)=3),(D$48),(($N$19+$N$32)=4),(D$49),(($N$19+$N$32)=5),(D$50),(($N$19+$N$32)=6),(D$51),(($N$19+$N$32)=7),(D$52),(($N$19+$N$32)=8),(D$53),(($N$19+$N$32)=9),(D$54),(($N$19+$N$32)=10),(D$55))</f>
        <v>240.43401860994643</v>
      </c>
      <c r="Q6" s="27">
        <f>_xlfn.IFS((($N$19+$N$32)=2),(E$47),(($N$19+$N$32)=3),(E$48),(($N$19+$N$32)=4),(E$49),(($N$19+$N$32)=5),(E$50),(($N$19+$N$32)=6),(E$51),(($N$19+$N$32)=7),(E$52),(($N$19+$N$32)=8),(E$53),(($N$19+$N$32)=9),(E$54),(($N$19+$N$32)=10),(E$55))</f>
        <v>2.2387978504494433E-3</v>
      </c>
      <c r="R6" s="28">
        <f>_xlfn.IFS((($N$19+$N$32)=2),(F$47),(($N$19+$N$32)=3),(F$48),(($N$19+$N$32)=4),(F$49),(($N$19+$N$32)=5),(F$50),(($N$19+$N$32)=6),(F$51),(($N$19+$N$32)=7),(F$52),(($N$19+$N$32)=8),(F$53),(($N$19+$N$32)=9),(F$54),(($N$19+$N$32)=10),(F$55))</f>
        <v>35798.083714388478</v>
      </c>
      <c r="S6" s="8"/>
      <c r="U6" s="19">
        <f>'Post-yield Mechanism'!O226</f>
        <v>30478.067931527537</v>
      </c>
      <c r="V6" s="29">
        <f>(U6-R6)/U6</f>
        <v>-0.17455226475683971</v>
      </c>
    </row>
    <row r="7" spans="2:22" x14ac:dyDescent="0.25">
      <c r="B7" s="7"/>
      <c r="C7" s="30">
        <v>5</v>
      </c>
      <c r="D7" s="19">
        <f>'Structural Information'!U7</f>
        <v>3</v>
      </c>
      <c r="E7" s="20">
        <f t="shared" ref="E7:E11" si="3">G33*H33</f>
        <v>313.2</v>
      </c>
      <c r="F7" s="19">
        <f t="shared" si="0"/>
        <v>3.0059683200000009</v>
      </c>
      <c r="G7" s="21">
        <f t="shared" si="1"/>
        <v>9.597600000000003E-3</v>
      </c>
      <c r="H7" s="20">
        <f t="shared" ref="H7:H11" si="4">G20*H20</f>
        <v>649.44000000000005</v>
      </c>
      <c r="I7" s="19">
        <f>'System Capacities'!G20*'System Capacities'!H20*'System Capacities'!I20</f>
        <v>1.2492677292983405</v>
      </c>
      <c r="J7" s="22">
        <f t="shared" si="2"/>
        <v>1.92360761471166E-3</v>
      </c>
      <c r="K7" s="23"/>
      <c r="L7" s="24"/>
      <c r="M7" s="30">
        <v>5</v>
      </c>
      <c r="N7" s="20">
        <f>'System Capacities'!G33</f>
        <v>104.39999999999999</v>
      </c>
      <c r="O7" s="25">
        <f>'System Capacities'!G20</f>
        <v>216.48000000000002</v>
      </c>
      <c r="P7" s="26">
        <f>_xlfn.IFS((($N$20+$N$33)=2),(H$47),(($N$20+$N$33)=3),(H$48),(($N$20+$N$33)=4),(H$49),(($N$20+$N$33)=5),(H$50),(($N$20+$N$33)=6),(H$51),(($N$20+$N$33)=7),(H$52),(($N$20+$N$33)=8),(H$53),(($N$20+$N$33)=9),(H$54),(($N$20+$N$33)=10),(H$55))</f>
        <v>237.40446392597082</v>
      </c>
      <c r="Q7" s="27">
        <f>_xlfn.IFS((($N$20+$N$33)=2),(I$47),(($N$20+$N$33)=3),(I$48),(($N$20+$N$33)=4),(I$49),(($N$20+$N$33)=5),(I$50),(($N$20+$N$33)=6),(I$51),(($N$20+$N$33)=7),(I$52),(($N$20+$N$33)=8),(I$53),(($N$20+$N$33)=9),(I$54),(($N$20+$N$33)=10),(I$55))</f>
        <v>1.92360761471166E-3</v>
      </c>
      <c r="R7" s="28">
        <f>_xlfn.IFS((($N$20+$N$33)=2),(J$47),(($N$20+$N$33)=3),(J$48),(($N$20+$N$33)=4),(J$49),(($N$20+$N$33)=5),(J$50),(($N$20+$N$33)=6),(J$51),(($N$20+$N$33)=7),(J$52),(($N$20+$N$33)=8),(J$53),(($N$20+$N$33)=9),(J$54),(($N$20+$N$33)=10),(J$55))</f>
        <v>41138.754444221144</v>
      </c>
      <c r="S7" s="8"/>
      <c r="U7" s="19">
        <f>'Post-yield Mechanism'!O227</f>
        <v>36059.333042736049</v>
      </c>
      <c r="V7" s="29">
        <f t="shared" ref="V7:V11" si="5">(U7-R7)/U7</f>
        <v>-0.14086287717704518</v>
      </c>
    </row>
    <row r="8" spans="2:22" x14ac:dyDescent="0.25">
      <c r="B8" s="7"/>
      <c r="C8" s="30">
        <v>4</v>
      </c>
      <c r="D8" s="19">
        <f>'Structural Information'!U8</f>
        <v>3</v>
      </c>
      <c r="E8" s="20">
        <f t="shared" si="3"/>
        <v>343</v>
      </c>
      <c r="F8" s="19">
        <f t="shared" si="0"/>
        <v>3.0923230776426571</v>
      </c>
      <c r="G8" s="21">
        <f t="shared" si="1"/>
        <v>9.015519176800749E-3</v>
      </c>
      <c r="H8" s="20">
        <f t="shared" si="4"/>
        <v>649.44000000000005</v>
      </c>
      <c r="I8" s="19">
        <f>'System Capacities'!G21*'System Capacities'!H21*'System Capacities'!I21</f>
        <v>1.2029255466928159</v>
      </c>
      <c r="J8" s="22">
        <f t="shared" si="2"/>
        <v>1.8522504722419558E-3</v>
      </c>
      <c r="K8" s="23"/>
      <c r="L8" s="24"/>
      <c r="M8" s="30">
        <v>4</v>
      </c>
      <c r="N8" s="20">
        <f>'System Capacities'!G34</f>
        <v>114.33333333333333</v>
      </c>
      <c r="O8" s="25">
        <f>'System Capacities'!G21</f>
        <v>216.48000000000002</v>
      </c>
      <c r="P8" s="26">
        <f>_xlfn.IFS((($N$21+$N$34)=2),(L$47),(($N$21+$N$34)=3),(L$48),(($N$21+$N$34)=4),(L$49),(($N$21+$N$34)=5),(L$50),(($N$21+$N$34)=6),(L$51),(($N$21+$N$34)=7),(L$52),(($N$21+$N$34)=8),(L$53),(($N$21+$N$34)=9),(L$54),(($N$21+$N$34)=10),(L$55))</f>
        <v>239.96993624289689</v>
      </c>
      <c r="Q8" s="27">
        <f>_xlfn.IFS((($N$21+$N$34)=2),(M$47),(($N$21+$N$34)=3),(M$48),(($N$21+$N$34)=4),(M$49),(($N$21+$N$34)=5),(M$50),(($N$21+$N$34)=6),(M$51),(($N$21+$N$34)=7),(M$52),(($N$21+$N$34)=8),(M$53),(($N$21+$N$34)=9),(M$54),(($N$21+$N$34)=10),(M$55))</f>
        <v>1.852250472241956E-3</v>
      </c>
      <c r="R8" s="28">
        <f>_xlfn.IFS((($N$21+$N$34)=2),(N$47),(($N$21+$N$34)=3),(N$48),(($N$21+$N$34)=4),(N$49),(($N$21+$N$34)=5),(N$50),(($N$21+$N$34)=6),(N$51),(($N$21+$N$34)=7),(N$52),(($N$21+$N$34)=8),(N$53),(($N$21+$N$34)=9),(N$54),(($N$21+$N$34)=10),(N$55))</f>
        <v>43185.2926730869</v>
      </c>
      <c r="S8" s="8"/>
      <c r="U8" s="19">
        <f>'Post-yield Mechanism'!O228</f>
        <v>37840.876990438519</v>
      </c>
      <c r="V8" s="29">
        <f t="shared" si="5"/>
        <v>-0.14123392763859005</v>
      </c>
    </row>
    <row r="9" spans="2:22" x14ac:dyDescent="0.25">
      <c r="B9" s="7"/>
      <c r="C9" s="18">
        <v>3</v>
      </c>
      <c r="D9" s="19">
        <f>'Structural Information'!U9</f>
        <v>3</v>
      </c>
      <c r="E9" s="20">
        <f t="shared" si="3"/>
        <v>462.59999999999997</v>
      </c>
      <c r="F9" s="19">
        <f t="shared" si="0"/>
        <v>3.9701265245217399</v>
      </c>
      <c r="G9" s="21">
        <f t="shared" si="1"/>
        <v>8.5822017391304368E-3</v>
      </c>
      <c r="H9" s="20">
        <f t="shared" si="4"/>
        <v>646.27200000000016</v>
      </c>
      <c r="I9" s="19">
        <f>'System Capacities'!G22*'System Capacities'!H22*'System Capacities'!I22</f>
        <v>1.1578397178366584</v>
      </c>
      <c r="J9" s="22">
        <f>I9/H9</f>
        <v>1.7915672005543457E-3</v>
      </c>
      <c r="K9" s="23"/>
      <c r="L9" s="24"/>
      <c r="M9" s="18">
        <v>3</v>
      </c>
      <c r="N9" s="20">
        <f>'System Capacities'!G35</f>
        <v>154.19999999999999</v>
      </c>
      <c r="O9" s="25">
        <f>'System Capacities'!G22</f>
        <v>215.42400000000004</v>
      </c>
      <c r="P9" s="26">
        <f>_xlfn.IFS((($N$22+$N$35)=2),(D$60),(($N$22+$N$35)=3),(D$61),(($N$22+$N$35)=4),(D$62),(($N$22+$N$35)=5),(D$63),(($N$22+$N$35)=6),(D$64),(($N$22+$N$35)=7),(D$65),(($N$22+$N$35)=8),(D$66),(($N$22+$N$35)=9),(D$67),(($N$22+$N$35)=10),(D$68))</f>
        <v>247.61383551340651</v>
      </c>
      <c r="Q9" s="27">
        <f>_xlfn.IFS((($N$22+$N$35)=2),(E$60),(($N$22+$N$35)=3),(E$61),(($N$22+$N$35)=4),(E$62),(($N$22+$N$35)=5),(E$63),(($N$22+$N$35)=6),(E$64),(($N$22+$N$35)=7),(E$65),(($N$22+$N$35)=8),(E$66),(($N$22+$N$35)=9),(E$67),(($N$22+$N$35)=10),(E$68))</f>
        <v>1.7915672005543457E-3</v>
      </c>
      <c r="R9" s="28">
        <f>_xlfn.IFS((($N$22+$N$35)=2),(F$60),(($N$22+$N$35)=3),(F$61),(($N$22+$N$35)=4),(F$62),(($N$22+$N$35)=5),(F$63),(($N$22+$N$35)=6),(F$64),(($N$22+$N$35)=7),(F$65),(($N$22+$N$35)=8),(F$66),(($N$22+$N$35)=9),(F$67),(($N$22+$N$35)=10),(F$68))</f>
        <v>46070.247962564099</v>
      </c>
      <c r="S9" s="8"/>
      <c r="U9" s="19">
        <f>'Post-yield Mechanism'!O229</f>
        <v>42313.05814468328</v>
      </c>
      <c r="V9" s="29">
        <f t="shared" si="5"/>
        <v>-8.8795043010922559E-2</v>
      </c>
    </row>
    <row r="10" spans="2:22" x14ac:dyDescent="0.25">
      <c r="B10" s="7"/>
      <c r="C10" s="30">
        <v>2</v>
      </c>
      <c r="D10" s="19">
        <f>'Structural Information'!U10</f>
        <v>3</v>
      </c>
      <c r="E10" s="20">
        <f t="shared" si="3"/>
        <v>487.79999999999995</v>
      </c>
      <c r="F10" s="19">
        <f t="shared" si="0"/>
        <v>3.293785261629214</v>
      </c>
      <c r="G10" s="21">
        <f t="shared" si="1"/>
        <v>6.7523273096129852E-3</v>
      </c>
      <c r="H10" s="20">
        <f t="shared" si="4"/>
        <v>646.27200000000016</v>
      </c>
      <c r="I10" s="19">
        <f>'System Capacities'!G23*'System Capacities'!H23*'System Capacities'!I23</f>
        <v>1.1208106066780876</v>
      </c>
      <c r="J10" s="22">
        <f t="shared" si="2"/>
        <v>1.7342707198796906E-3</v>
      </c>
      <c r="K10" s="23"/>
      <c r="L10" s="24"/>
      <c r="M10" s="30">
        <v>2</v>
      </c>
      <c r="N10" s="20">
        <f>'System Capacities'!G36</f>
        <v>162.6</v>
      </c>
      <c r="O10" s="25">
        <f>'System Capacities'!G23</f>
        <v>215.42400000000004</v>
      </c>
      <c r="P10" s="26">
        <f>_xlfn.IFS((($N$23+$N$36)=2),(H$60),(($N$23+$N$36)=3),(H$61),(($N$23+$N$36)=4),(H$62),(($N$23+$N$36)=5),(H$63),(($N$23+$N$36)=6),(H$64),(($N$23+$N$36)=7),(H$65),(($N$23+$N$36)=8),(H$66),(($N$23+$N$36)=9),(H$67),(($N$23+$N$36)=10),(H$68))</f>
        <v>257.18625560792617</v>
      </c>
      <c r="Q10" s="27">
        <f>_xlfn.IFS((($N$23+$N$36)=2),(I$60),(($N$23+$N$36)=3),(I$61),(($N$23+$N$36)=4),(I$62),(($N$23+$N$36)=5),(I$63),(($N$23+$N$36)=6),(I$64),(($N$23+$N$36)=7),(I$65),(($N$23+$N$36)=8),(I$66),(($N$23+$N$36)=9),(I$67),(($N$23+$N$36)=10),(I$68))</f>
        <v>1.7342707198796904E-3</v>
      </c>
      <c r="R10" s="28">
        <f>_xlfn.IFS((($N$23+$N$36)=2),(J$60),(($N$23+$N$36)=3),(J$61),(($N$23+$N$36)=4),(J$62),(($N$23+$N$36)=5),(J$63),(($N$23+$N$36)=6),(J$64),(($N$23+$N$36)=7),(J$65),(($N$23+$N$36)=8),(J$66),(($N$23+$N$36)=9),(J$67),(($N$23+$N$36)=10),(J$68))</f>
        <v>49432.162399222128</v>
      </c>
      <c r="S10" s="8"/>
      <c r="U10" s="19">
        <f>'Post-yield Mechanism'!O230</f>
        <v>42754.494159960843</v>
      </c>
      <c r="V10" s="29">
        <f t="shared" si="5"/>
        <v>-0.15618634649909752</v>
      </c>
    </row>
    <row r="11" spans="2:22" ht="16.5" thickBot="1" x14ac:dyDescent="0.3">
      <c r="B11" s="7"/>
      <c r="C11" s="31">
        <v>1</v>
      </c>
      <c r="D11" s="32">
        <f>'Structural Information'!U11</f>
        <v>2.75</v>
      </c>
      <c r="E11" s="33">
        <f t="shared" si="3"/>
        <v>679.9</v>
      </c>
      <c r="F11" s="32">
        <f t="shared" si="0"/>
        <v>3.6116878618345756</v>
      </c>
      <c r="G11" s="34">
        <f t="shared" si="1"/>
        <v>5.3120868684138484E-3</v>
      </c>
      <c r="H11" s="33">
        <f t="shared" si="4"/>
        <v>574.99200000000019</v>
      </c>
      <c r="I11" s="32">
        <f>'System Capacities'!G24*'System Capacities'!H24*'System Capacities'!I24</f>
        <v>1.012359816873146</v>
      </c>
      <c r="J11" s="35">
        <f t="shared" si="2"/>
        <v>1.7606502644787157E-3</v>
      </c>
      <c r="K11" s="23"/>
      <c r="L11" s="24"/>
      <c r="M11" s="31">
        <v>1</v>
      </c>
      <c r="N11" s="33">
        <f>'System Capacities'!G37</f>
        <v>247.23636363636362</v>
      </c>
      <c r="O11" s="36">
        <f>'System Capacities'!G24</f>
        <v>209.08800000000008</v>
      </c>
      <c r="P11" s="37">
        <f>_xlfn.IFS((($N$24+$N$37)=2),(L$60),(($N$24+$N$37)=3),(L$61),(($N$24+$N$37)=4),(L$62),(($N$24+$N$37)=5),(L$63),(($N$24+$N$37)=6),(L$64),(($N$24+$N$37)=7),(L$65),(($N$24+$N$37)=8),(L$66),(($N$24+$N$37)=9),(L$67),(($N$24+$N$37)=10),(L$68))</f>
        <v>291.03258784426777</v>
      </c>
      <c r="Q11" s="38">
        <f>_xlfn.IFS((($N$24+$N$37)=2),(M$60),(($N$24+$N$37)=3),(M$61),(($N$24+$N$37)=4),(M$62),(($N$24+$N$37)=5),(M$63),(($N$24+$N$37)=6),(M$64),(($N$24+$N$37)=7),(M$65),(($N$24+$N$37)=8),(M$66),(($N$24+$N$37)=9),(M$67),(($N$24+$N$37)=10),(M$68))</f>
        <v>1.7606502644787157E-3</v>
      </c>
      <c r="R11" s="39">
        <f>_xlfn.IFS((($N$24+$N$37)=2),(N$60),(($N$24+$N$37)=3),(N$61),(($N$24+$N$37)=4),(N$62),(($N$24+$N$37)=5),(N$63),(($N$24+$N$37)=6),(N$64),(($N$24+$N$37)=7),(N$65),(($N$24+$N$37)=8),(N$66),(($N$24+$N$37)=9),(N$67),(($N$24+$N$37)=10),(N$68))</f>
        <v>60108.491776306131</v>
      </c>
      <c r="S11" s="8"/>
      <c r="U11" s="19">
        <f>'Post-yield Mechanism'!O231</f>
        <v>61906.781363807611</v>
      </c>
      <c r="V11" s="29">
        <f t="shared" si="5"/>
        <v>2.9048345720535378E-2</v>
      </c>
    </row>
    <row r="12" spans="2:22" x14ac:dyDescent="0.25">
      <c r="B12" s="7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8"/>
    </row>
    <row r="13" spans="2:22" ht="16.5" thickBot="1" x14ac:dyDescent="0.3">
      <c r="B13" s="41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3"/>
    </row>
    <row r="14" spans="2:22" ht="16.5" thickBot="1" x14ac:dyDescent="0.3"/>
    <row r="15" spans="2:22" x14ac:dyDescent="0.25">
      <c r="B15" s="863" t="s">
        <v>309</v>
      </c>
      <c r="C15" s="864"/>
      <c r="D15" s="864"/>
      <c r="E15" s="864"/>
      <c r="F15" s="864"/>
      <c r="G15" s="864"/>
      <c r="H15" s="864"/>
      <c r="I15" s="864"/>
      <c r="J15" s="864"/>
      <c r="K15" s="864"/>
      <c r="L15" s="864"/>
      <c r="M15" s="864"/>
      <c r="N15" s="864"/>
      <c r="O15" s="864"/>
      <c r="P15" s="864"/>
      <c r="Q15" s="864"/>
      <c r="R15" s="864"/>
      <c r="S15" s="865"/>
    </row>
    <row r="16" spans="2:22" ht="16.5" thickBot="1" x14ac:dyDescent="0.3">
      <c r="B16" s="866"/>
      <c r="C16" s="867"/>
      <c r="D16" s="867"/>
      <c r="E16" s="867"/>
      <c r="F16" s="867"/>
      <c r="G16" s="867"/>
      <c r="H16" s="867"/>
      <c r="I16" s="867"/>
      <c r="J16" s="867"/>
      <c r="K16" s="867"/>
      <c r="L16" s="867"/>
      <c r="M16" s="867"/>
      <c r="N16" s="867"/>
      <c r="O16" s="867"/>
      <c r="P16" s="867"/>
      <c r="Q16" s="867"/>
      <c r="R16" s="867"/>
      <c r="S16" s="868"/>
    </row>
    <row r="17" spans="2:42" ht="16.5" thickBot="1" x14ac:dyDescent="0.3">
      <c r="B17" s="7"/>
      <c r="C17" s="797" t="s">
        <v>424</v>
      </c>
      <c r="D17" s="798"/>
      <c r="E17" s="798"/>
      <c r="F17" s="798"/>
      <c r="G17" s="798"/>
      <c r="H17" s="798"/>
      <c r="I17" s="798"/>
      <c r="J17" s="798"/>
      <c r="K17" s="798"/>
      <c r="L17" s="798"/>
      <c r="M17" s="798"/>
      <c r="N17" s="799"/>
      <c r="O17" s="40"/>
      <c r="P17" s="861" t="s">
        <v>310</v>
      </c>
      <c r="Q17" s="862"/>
      <c r="R17" s="862"/>
      <c r="S17" s="8"/>
      <c r="U17" s="871" t="s">
        <v>330</v>
      </c>
      <c r="V17" s="871"/>
    </row>
    <row r="18" spans="2:42" ht="16.5" customHeight="1" x14ac:dyDescent="0.25">
      <c r="B18" s="7"/>
      <c r="C18" s="9" t="s">
        <v>9</v>
      </c>
      <c r="D18" s="633" t="s">
        <v>187</v>
      </c>
      <c r="E18" s="633"/>
      <c r="F18" s="633"/>
      <c r="G18" s="44" t="s">
        <v>85</v>
      </c>
      <c r="H18" s="11" t="s">
        <v>86</v>
      </c>
      <c r="I18" s="45" t="s">
        <v>87</v>
      </c>
      <c r="J18" s="46" t="s">
        <v>88</v>
      </c>
      <c r="K18" s="852" t="s">
        <v>219</v>
      </c>
      <c r="L18" s="870"/>
      <c r="M18" s="854"/>
      <c r="N18" s="5" t="s">
        <v>218</v>
      </c>
      <c r="O18" s="40"/>
      <c r="P18" s="862"/>
      <c r="Q18" s="862"/>
      <c r="R18" s="862"/>
      <c r="S18" s="8"/>
      <c r="U18" s="16" t="s">
        <v>363</v>
      </c>
      <c r="V18" s="17" t="s">
        <v>267</v>
      </c>
      <c r="AK18" s="47"/>
      <c r="AL18" s="47"/>
      <c r="AM18" s="47"/>
      <c r="AN18" s="47"/>
      <c r="AO18" s="47"/>
      <c r="AP18" s="47"/>
    </row>
    <row r="19" spans="2:42" ht="15" customHeight="1" x14ac:dyDescent="0.25">
      <c r="B19" s="7"/>
      <c r="C19" s="48">
        <v>6</v>
      </c>
      <c r="D19" s="674" t="s">
        <v>198</v>
      </c>
      <c r="E19" s="869"/>
      <c r="F19" s="676"/>
      <c r="G19" s="19">
        <f>_xlfn.IFS(N19=1,'Infill Capacities'!CM14,N19=2,'Infill Capacities'!CN14,N19=3,'Infill Capacities'!CO14,N19=4,'Infill Capacities'!CP14)</f>
        <v>216.48000000000002</v>
      </c>
      <c r="H19" s="19">
        <f>'Structural Information'!$U$6</f>
        <v>3</v>
      </c>
      <c r="I19" s="27">
        <f>_xlfn.IFS(N19=1,'Infill Capacities'!CW14,N19=2,'Infill Capacities'!CX14,N19=3,'Infill Capacities'!CY14,N19=4,'Infill Capacities'!CZ14)</f>
        <v>2.2387978504494433E-3</v>
      </c>
      <c r="J19" s="19">
        <f>_xlfn.IFS((N19=1),('Infill Capacities'!CR14),(N19=2),('Infill Capacities'!CS14),(N19=3),('Infill Capacities'!CT14),(N19=4),'Infill Capacities'!CU14)</f>
        <v>32231.583564149721</v>
      </c>
      <c r="K19" s="852"/>
      <c r="L19" s="870"/>
      <c r="M19" s="854"/>
      <c r="N19" s="49">
        <v>1</v>
      </c>
      <c r="O19" s="40"/>
      <c r="P19" s="862"/>
      <c r="Q19" s="862"/>
      <c r="R19" s="862"/>
      <c r="S19" s="8"/>
      <c r="U19" s="19">
        <f>'Post-yield Mechanism'!Q226</f>
        <v>26773.058785669469</v>
      </c>
      <c r="V19" s="29">
        <f t="shared" ref="V19:V24" si="6">(U19-J19)/U19</f>
        <v>-0.20388125324708803</v>
      </c>
    </row>
    <row r="20" spans="2:42" x14ac:dyDescent="0.25">
      <c r="B20" s="7"/>
      <c r="C20" s="48">
        <v>5</v>
      </c>
      <c r="D20" s="674" t="s">
        <v>198</v>
      </c>
      <c r="E20" s="869"/>
      <c r="F20" s="676"/>
      <c r="G20" s="19">
        <f>_xlfn.IFS(N20=1,'Infill Capacities'!CM15,N20=2,'Infill Capacities'!CN15,N20=3,'Infill Capacities'!CO15,N20=4,'Infill Capacities'!CP15)</f>
        <v>216.48000000000002</v>
      </c>
      <c r="H20" s="19">
        <f>'Structural Information'!$U$7</f>
        <v>3</v>
      </c>
      <c r="I20" s="27">
        <f>_xlfn.IFS(N20=1,'Infill Capacities'!CW15,N20=2,'Infill Capacities'!CX15,N20=3,'Infill Capacities'!CY15,N20=4,'Infill Capacities'!CZ15)</f>
        <v>1.92360761471166E-3</v>
      </c>
      <c r="J20" s="19">
        <f>_xlfn.IFS((N20=1),('Infill Capacities'!CR15),(N20=2),('Infill Capacities'!CS15),(N20=3),('Infill Capacities'!CT15),(N20=4),'Infill Capacities'!CU15)</f>
        <v>37512.847967601992</v>
      </c>
      <c r="K20" s="852"/>
      <c r="L20" s="870"/>
      <c r="M20" s="854"/>
      <c r="N20" s="49">
        <v>1</v>
      </c>
      <c r="O20" s="40"/>
      <c r="P20" s="862"/>
      <c r="Q20" s="862"/>
      <c r="R20" s="862"/>
      <c r="S20" s="8"/>
      <c r="U20" s="19">
        <f>'Post-yield Mechanism'!Q227</f>
        <v>32198.335613867137</v>
      </c>
      <c r="V20" s="29">
        <f t="shared" si="6"/>
        <v>-0.16505549906269093</v>
      </c>
    </row>
    <row r="21" spans="2:42" x14ac:dyDescent="0.25">
      <c r="B21" s="7"/>
      <c r="C21" s="48">
        <v>4</v>
      </c>
      <c r="D21" s="674" t="s">
        <v>198</v>
      </c>
      <c r="E21" s="869"/>
      <c r="F21" s="676"/>
      <c r="G21" s="19">
        <f>_xlfn.IFS(N21=1,'Infill Capacities'!CM16,N21=2,'Infill Capacities'!CN16,N21=3,'Infill Capacities'!CO16,N21=4,'Infill Capacities'!CP16)</f>
        <v>216.48000000000002</v>
      </c>
      <c r="H21" s="19">
        <f>'Structural Information'!$U$8</f>
        <v>3</v>
      </c>
      <c r="I21" s="27">
        <f>_xlfn.IFS(N21=1,'Infill Capacities'!CW16,N21=2,'Infill Capacities'!CX16,N21=3,'Infill Capacities'!CY16,N21=4,'Infill Capacities'!CZ16)</f>
        <v>1.852250472241956E-3</v>
      </c>
      <c r="J21" s="19">
        <f>_xlfn.IFS((N21=1),('Infill Capacities'!CR16),(N21=2),('Infill Capacities'!CS16),(N21=3),('Infill Capacities'!CT16),(N21=4),'Infill Capacities'!CU16)</f>
        <v>38958.01409226143</v>
      </c>
      <c r="K21" s="852"/>
      <c r="L21" s="870"/>
      <c r="M21" s="854"/>
      <c r="N21" s="49">
        <v>1</v>
      </c>
      <c r="O21" s="40"/>
      <c r="P21" s="862"/>
      <c r="Q21" s="862"/>
      <c r="R21" s="862"/>
      <c r="S21" s="8"/>
      <c r="U21" s="19">
        <f>'Post-yield Mechanism'!Q228</f>
        <v>33822.688202495934</v>
      </c>
      <c r="V21" s="29">
        <f t="shared" si="6"/>
        <v>-0.15183080241938121</v>
      </c>
    </row>
    <row r="22" spans="2:42" x14ac:dyDescent="0.25">
      <c r="B22" s="7"/>
      <c r="C22" s="48">
        <v>3</v>
      </c>
      <c r="D22" s="674" t="s">
        <v>199</v>
      </c>
      <c r="E22" s="869"/>
      <c r="F22" s="676"/>
      <c r="G22" s="19">
        <f>_xlfn.IFS(N22=1,'Infill Capacities'!CM17,N22=2,'Infill Capacities'!CN17,N22=3,'Infill Capacities'!CO17,N22=4,'Infill Capacities'!CP17)</f>
        <v>215.42400000000004</v>
      </c>
      <c r="H22" s="19">
        <f>'Structural Information'!$U$9</f>
        <v>3</v>
      </c>
      <c r="I22" s="27">
        <f>_xlfn.IFS(N22=1,'Infill Capacities'!CW17,N22=2,'Infill Capacities'!CX17,N22=3,'Infill Capacities'!CY17,N22=4,'Infill Capacities'!CZ17)</f>
        <v>1.7915672005543457E-3</v>
      </c>
      <c r="J22" s="19">
        <f>_xlfn.IFS((N22=1),('Infill Capacities'!CR17),(N22=2),('Infill Capacities'!CS17),(N22=3),('Infill Capacities'!CT17),(N22=4),'Infill Capacities'!CU17)</f>
        <v>40081.108862554094</v>
      </c>
      <c r="K22" s="852"/>
      <c r="L22" s="870"/>
      <c r="M22" s="854"/>
      <c r="N22" s="49">
        <v>1</v>
      </c>
      <c r="O22" s="40"/>
      <c r="P22" s="862"/>
      <c r="Q22" s="862"/>
      <c r="R22" s="862"/>
      <c r="S22" s="8"/>
      <c r="U22" s="19">
        <f>'Post-yield Mechanism'!Q229</f>
        <v>37008.197034533463</v>
      </c>
      <c r="V22" s="29">
        <f t="shared" si="6"/>
        <v>-8.303327571330224E-2</v>
      </c>
    </row>
    <row r="23" spans="2:42" x14ac:dyDescent="0.25">
      <c r="B23" s="7"/>
      <c r="C23" s="48">
        <v>2</v>
      </c>
      <c r="D23" s="674" t="s">
        <v>200</v>
      </c>
      <c r="E23" s="869"/>
      <c r="F23" s="676"/>
      <c r="G23" s="19">
        <f>_xlfn.IFS(N23=1,'Infill Capacities'!CM18,N23=2,'Infill Capacities'!CN18,N23=3,'Infill Capacities'!CO18,N23=4,'Infill Capacities'!CP18)</f>
        <v>215.42400000000004</v>
      </c>
      <c r="H23" s="19">
        <f>'Structural Information'!$U$10</f>
        <v>3</v>
      </c>
      <c r="I23" s="27">
        <f>_xlfn.IFS(N23=1,'Infill Capacities'!CW18,N23=2,'Infill Capacities'!CX18,N23=3,'Infill Capacities'!CY18,N23=4,'Infill Capacities'!CZ18)</f>
        <v>1.7342707198796904E-3</v>
      </c>
      <c r="J23" s="19">
        <f>_xlfn.IFS((N23=1),('Infill Capacities'!CR18),(N23=2),('Infill Capacities'!CS18),(N23=3),('Infill Capacities'!CT18),(N23=4),'Infill Capacities'!CU18)</f>
        <v>41405.300324150929</v>
      </c>
      <c r="K23" s="852"/>
      <c r="L23" s="870"/>
      <c r="M23" s="854"/>
      <c r="N23" s="49">
        <v>1</v>
      </c>
      <c r="O23" s="40"/>
      <c r="P23" s="862"/>
      <c r="Q23" s="862"/>
      <c r="R23" s="862"/>
      <c r="S23" s="8"/>
      <c r="U23" s="19">
        <f>'Post-yield Mechanism'!Q230</f>
        <v>37080.353432899734</v>
      </c>
      <c r="V23" s="29">
        <f t="shared" si="6"/>
        <v>-0.11663715393321639</v>
      </c>
      <c r="Y23" s="50"/>
      <c r="Z23" s="51"/>
      <c r="AA23" s="52"/>
      <c r="AB23" s="51"/>
      <c r="AC23" s="50"/>
      <c r="AD23" s="51"/>
      <c r="AE23" s="52"/>
      <c r="AF23" s="51"/>
      <c r="AG23" s="50"/>
      <c r="AH23" s="51"/>
      <c r="AI23" s="52"/>
      <c r="AJ23" s="51"/>
    </row>
    <row r="24" spans="2:42" ht="16.5" thickBot="1" x14ac:dyDescent="0.3">
      <c r="B24" s="7"/>
      <c r="C24" s="53">
        <v>1</v>
      </c>
      <c r="D24" s="754" t="s">
        <v>200</v>
      </c>
      <c r="E24" s="755"/>
      <c r="F24" s="756"/>
      <c r="G24" s="32">
        <f>_xlfn.IFS(N24=1,'Infill Capacities'!CM19,N24=2,'Infill Capacities'!CN19,N24=3,'Infill Capacities'!CO19,N24=4,'Infill Capacities'!CP19)</f>
        <v>209.08800000000008</v>
      </c>
      <c r="H24" s="32">
        <f>'Structural Information'!$U$11</f>
        <v>2.75</v>
      </c>
      <c r="I24" s="38">
        <f>_xlfn.IFS(N24=1,'Infill Capacities'!CW19,N24=2,'Infill Capacities'!CX19,N24=3,'Infill Capacities'!CY19,N24=4,'Infill Capacities'!CZ19)</f>
        <v>1.7606502644787157E-3</v>
      </c>
      <c r="J24" s="32">
        <f>_xlfn.IFS((N24=1),('Infill Capacities'!CR19),(N24=2),('Infill Capacities'!CS19),(N24=3),('Infill Capacities'!CT19),(N24=4),'Infill Capacities'!CU19)</f>
        <v>43184.044857716923</v>
      </c>
      <c r="K24" s="855"/>
      <c r="L24" s="856"/>
      <c r="M24" s="857"/>
      <c r="N24" s="54">
        <v>1</v>
      </c>
      <c r="O24" s="40"/>
      <c r="P24" s="862"/>
      <c r="Q24" s="862"/>
      <c r="R24" s="862"/>
      <c r="S24" s="8"/>
      <c r="U24" s="19">
        <f>'Post-yield Mechanism'!Q231</f>
        <v>47439.25324999632</v>
      </c>
      <c r="V24" s="29">
        <f t="shared" si="6"/>
        <v>8.9698047518902022E-2</v>
      </c>
    </row>
    <row r="25" spans="2:42" x14ac:dyDescent="0.25">
      <c r="B25" s="7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8"/>
    </row>
    <row r="26" spans="2:42" ht="16.5" thickBot="1" x14ac:dyDescent="0.3"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3"/>
    </row>
    <row r="27" spans="2:42" ht="16.5" thickBot="1" x14ac:dyDescent="0.3">
      <c r="U27" s="55"/>
    </row>
    <row r="28" spans="2:42" x14ac:dyDescent="0.25">
      <c r="B28" s="863" t="s">
        <v>311</v>
      </c>
      <c r="C28" s="864"/>
      <c r="D28" s="864"/>
      <c r="E28" s="864"/>
      <c r="F28" s="864"/>
      <c r="G28" s="864"/>
      <c r="H28" s="864"/>
      <c r="I28" s="864"/>
      <c r="J28" s="864"/>
      <c r="K28" s="864"/>
      <c r="L28" s="864"/>
      <c r="M28" s="864"/>
      <c r="N28" s="864"/>
      <c r="O28" s="864"/>
      <c r="P28" s="864"/>
      <c r="Q28" s="864"/>
      <c r="R28" s="864"/>
      <c r="S28" s="865"/>
      <c r="AD28" s="19"/>
      <c r="AE28" s="56"/>
    </row>
    <row r="29" spans="2:42" ht="16.5" thickBot="1" x14ac:dyDescent="0.3">
      <c r="B29" s="866"/>
      <c r="C29" s="867"/>
      <c r="D29" s="867"/>
      <c r="E29" s="867"/>
      <c r="F29" s="867"/>
      <c r="G29" s="867"/>
      <c r="H29" s="867"/>
      <c r="I29" s="867"/>
      <c r="J29" s="867"/>
      <c r="K29" s="867"/>
      <c r="L29" s="867"/>
      <c r="M29" s="867"/>
      <c r="N29" s="867"/>
      <c r="O29" s="867"/>
      <c r="P29" s="867"/>
      <c r="Q29" s="867"/>
      <c r="R29" s="867"/>
      <c r="S29" s="868"/>
      <c r="X29" s="55"/>
      <c r="AD29" s="19"/>
      <c r="AE29" s="56"/>
    </row>
    <row r="30" spans="2:42" ht="16.5" thickBot="1" x14ac:dyDescent="0.3">
      <c r="B30" s="7"/>
      <c r="C30" s="858" t="s">
        <v>195</v>
      </c>
      <c r="D30" s="859"/>
      <c r="E30" s="859"/>
      <c r="F30" s="859"/>
      <c r="G30" s="859"/>
      <c r="H30" s="859"/>
      <c r="I30" s="859"/>
      <c r="J30" s="859"/>
      <c r="K30" s="859"/>
      <c r="L30" s="859"/>
      <c r="M30" s="859"/>
      <c r="N30" s="860"/>
      <c r="O30" s="40"/>
      <c r="P30" s="861" t="s">
        <v>310</v>
      </c>
      <c r="Q30" s="862"/>
      <c r="R30" s="862"/>
      <c r="S30" s="8"/>
      <c r="U30" s="871" t="s">
        <v>330</v>
      </c>
      <c r="V30" s="871"/>
      <c r="AD30" s="51"/>
      <c r="AE30" s="52"/>
    </row>
    <row r="31" spans="2:42" x14ac:dyDescent="0.25">
      <c r="B31" s="7"/>
      <c r="C31" s="9" t="s">
        <v>9</v>
      </c>
      <c r="D31" s="633" t="s">
        <v>84</v>
      </c>
      <c r="E31" s="633"/>
      <c r="F31" s="633"/>
      <c r="G31" s="15" t="s">
        <v>85</v>
      </c>
      <c r="H31" s="11" t="s">
        <v>86</v>
      </c>
      <c r="I31" s="11" t="s">
        <v>87</v>
      </c>
      <c r="J31" s="57" t="s">
        <v>88</v>
      </c>
      <c r="K31" s="852" t="s">
        <v>219</v>
      </c>
      <c r="L31" s="853"/>
      <c r="M31" s="854"/>
      <c r="N31" s="5" t="s">
        <v>218</v>
      </c>
      <c r="O31" s="40"/>
      <c r="P31" s="862"/>
      <c r="Q31" s="862"/>
      <c r="R31" s="862"/>
      <c r="S31" s="8"/>
      <c r="U31" s="16" t="s">
        <v>363</v>
      </c>
      <c r="V31" s="17" t="s">
        <v>267</v>
      </c>
      <c r="AD31" s="51"/>
      <c r="AE31" s="52"/>
    </row>
    <row r="32" spans="2:42" x14ac:dyDescent="0.25">
      <c r="B32" s="7"/>
      <c r="C32" s="48">
        <v>6</v>
      </c>
      <c r="D32" s="674" t="s">
        <v>42</v>
      </c>
      <c r="E32" s="675"/>
      <c r="F32" s="676"/>
      <c r="G32" s="62">
        <f>_xlfn.IFS(N32=1,'Frame Capacities'!BC14,N32=2,'Frame Capacities'!BD14,N32=3,'Frame Capacities'!BE14,N32=4,'Frame Capacities'!BF14,N32=5,'Frame Capacities'!BG14)</f>
        <v>88.933333333333337</v>
      </c>
      <c r="H32" s="62">
        <f>'Structural Information'!$U$6</f>
        <v>3</v>
      </c>
      <c r="I32" s="120">
        <f>_xlfn.IFS(N32=1,'Frame Capacities'!BO14,N32=2,'Frame Capacities'!BP14,N32=3,'Frame Capacities'!BQ14,N32=4,'Frame Capacities'!BR14,N32=5,'Frame Capacities'!BS14)</f>
        <v>8.3119145368492249E-3</v>
      </c>
      <c r="J32" s="62">
        <f>_xlfn.IFS((N32=1),('Frame Capacities'!BI14),(N32=2),('Frame Capacities'!BJ14),(N32=3),('Frame Capacities'!BK14),(N32=4),'Frame Capacities'!BL14,(N32=5),'Frame Capacities'!BM14)</f>
        <v>3566.500150238754</v>
      </c>
      <c r="K32" s="852"/>
      <c r="L32" s="853"/>
      <c r="M32" s="854"/>
      <c r="N32" s="49">
        <v>1</v>
      </c>
      <c r="O32" s="40"/>
      <c r="P32" s="862"/>
      <c r="Q32" s="862"/>
      <c r="R32" s="862"/>
      <c r="S32" s="8"/>
      <c r="U32" s="19">
        <v>3705.0091458580678</v>
      </c>
      <c r="V32" s="29">
        <f t="shared" ref="V32:V37" si="7">(U32-J32)/U32</f>
        <v>3.7384252013023173E-2</v>
      </c>
      <c r="AD32" s="19"/>
      <c r="AE32" s="56"/>
    </row>
    <row r="33" spans="2:31" x14ac:dyDescent="0.25">
      <c r="B33" s="7"/>
      <c r="C33" s="48">
        <v>5</v>
      </c>
      <c r="D33" s="674" t="s">
        <v>42</v>
      </c>
      <c r="E33" s="675"/>
      <c r="F33" s="676"/>
      <c r="G33" s="62">
        <f>_xlfn.IFS(N33=1,'Frame Capacities'!BC15,N33=2,'Frame Capacities'!BD15,N33=3,'Frame Capacities'!BE15,N33=4,'Frame Capacities'!BF15,N33=5,'Frame Capacities'!BG15)</f>
        <v>104.39999999999999</v>
      </c>
      <c r="H33" s="62">
        <f>'Structural Information'!$U$7</f>
        <v>3</v>
      </c>
      <c r="I33" s="120">
        <f>_xlfn.IFS(N33=1,'Frame Capacities'!BO15,N33=2,'Frame Capacities'!BP15,N33=3,'Frame Capacities'!BQ15,N33=4,'Frame Capacities'!BR15,N33=5,'Frame Capacities'!BS15)</f>
        <v>9.597600000000003E-3</v>
      </c>
      <c r="J33" s="62">
        <f>_xlfn.IFS((N33=1),('Frame Capacities'!BI15),(N33=2),('Frame Capacities'!BJ15),(N33=3),('Frame Capacities'!BK15),(N33=4),'Frame Capacities'!BL15,(N33=5),'Frame Capacities'!BM15)</f>
        <v>3625.9064766191536</v>
      </c>
      <c r="K33" s="852"/>
      <c r="L33" s="853"/>
      <c r="M33" s="854"/>
      <c r="N33" s="49">
        <v>1</v>
      </c>
      <c r="O33" s="40"/>
      <c r="P33" s="862"/>
      <c r="Q33" s="862"/>
      <c r="R33" s="862"/>
      <c r="S33" s="8"/>
      <c r="U33" s="19">
        <v>3860.9974288689132</v>
      </c>
      <c r="V33" s="29">
        <f t="shared" si="7"/>
        <v>6.0888658068500683E-2</v>
      </c>
      <c r="AD33" s="51"/>
      <c r="AE33" s="52"/>
    </row>
    <row r="34" spans="2:31" x14ac:dyDescent="0.25">
      <c r="B34" s="7"/>
      <c r="C34" s="48">
        <v>4</v>
      </c>
      <c r="D34" s="674" t="s">
        <v>42</v>
      </c>
      <c r="E34" s="675"/>
      <c r="F34" s="676"/>
      <c r="G34" s="62">
        <f>_xlfn.IFS(N34=1,'Frame Capacities'!BC16,N34=2,'Frame Capacities'!BD16,N34=3,'Frame Capacities'!BE16,N34=4,'Frame Capacities'!BF16,N34=5,'Frame Capacities'!BG16)</f>
        <v>114.33333333333333</v>
      </c>
      <c r="H34" s="62">
        <f>'Structural Information'!$U$8</f>
        <v>3</v>
      </c>
      <c r="I34" s="120">
        <f>_xlfn.IFS(N34=1,'Frame Capacities'!BO16,N34=2,'Frame Capacities'!BP16,N34=3,'Frame Capacities'!BQ16,N34=4,'Frame Capacities'!BR16,N34=5,'Frame Capacities'!BS16)</f>
        <v>9.015519176800749E-3</v>
      </c>
      <c r="J34" s="62">
        <f>_xlfn.IFS((N34=1),('Frame Capacities'!BI16),(N34=2),('Frame Capacities'!BJ16),(N34=3),('Frame Capacities'!BK16),(N34=4),'Frame Capacities'!BL16,(N34=5),'Frame Capacities'!BM16)</f>
        <v>4227.278580825473</v>
      </c>
      <c r="K34" s="852"/>
      <c r="L34" s="853"/>
      <c r="M34" s="854"/>
      <c r="N34" s="49">
        <v>1</v>
      </c>
      <c r="O34" s="40"/>
      <c r="P34" s="862"/>
      <c r="Q34" s="862"/>
      <c r="R34" s="862"/>
      <c r="S34" s="8"/>
      <c r="U34" s="19">
        <v>4018.1887879425876</v>
      </c>
      <c r="V34" s="29">
        <f t="shared" si="7"/>
        <v>-5.2035831046640432E-2</v>
      </c>
      <c r="AD34" s="19"/>
      <c r="AE34" s="56"/>
    </row>
    <row r="35" spans="2:31" x14ac:dyDescent="0.25">
      <c r="B35" s="7"/>
      <c r="C35" s="48">
        <v>3</v>
      </c>
      <c r="D35" s="674" t="s">
        <v>42</v>
      </c>
      <c r="E35" s="675"/>
      <c r="F35" s="676"/>
      <c r="G35" s="62">
        <f>_xlfn.IFS(N35=1,'Frame Capacities'!BC17,N35=2,'Frame Capacities'!BD17,N35=3,'Frame Capacities'!BE17,N35=4,'Frame Capacities'!BF17,N35=5,'Frame Capacities'!BG17)</f>
        <v>154.19999999999999</v>
      </c>
      <c r="H35" s="62">
        <f>'Structural Information'!$U$9</f>
        <v>3</v>
      </c>
      <c r="I35" s="120">
        <f>_xlfn.IFS(N35=1,'Frame Capacities'!BO17,N35=2,'Frame Capacities'!BP17,N35=3,'Frame Capacities'!BQ17,N35=4,'Frame Capacities'!BR17,N35=5,'Frame Capacities'!BS17)</f>
        <v>8.5822017391304368E-3</v>
      </c>
      <c r="J35" s="62">
        <f>_xlfn.IFS((N35=1),('Frame Capacities'!BI17),(N35=2),('Frame Capacities'!BJ17),(N35=3),('Frame Capacities'!BK17),(N35=4),'Frame Capacities'!BL17,(N35=5),'Frame Capacities'!BM17)</f>
        <v>5989.1391000100084</v>
      </c>
      <c r="K35" s="852"/>
      <c r="L35" s="853"/>
      <c r="M35" s="854"/>
      <c r="N35" s="49">
        <v>1</v>
      </c>
      <c r="O35" s="40"/>
      <c r="P35" s="862"/>
      <c r="Q35" s="862"/>
      <c r="R35" s="862"/>
      <c r="S35" s="8"/>
      <c r="U35" s="19">
        <v>5304.8611101498182</v>
      </c>
      <c r="V35" s="29">
        <f t="shared" si="7"/>
        <v>-0.12899074559199253</v>
      </c>
    </row>
    <row r="36" spans="2:31" x14ac:dyDescent="0.25">
      <c r="B36" s="7"/>
      <c r="C36" s="48">
        <v>2</v>
      </c>
      <c r="D36" s="674" t="s">
        <v>42</v>
      </c>
      <c r="E36" s="675"/>
      <c r="F36" s="676"/>
      <c r="G36" s="62">
        <f>_xlfn.IFS(N36=1,'Frame Capacities'!BC18,N36=2,'Frame Capacities'!BD18,N36=3,'Frame Capacities'!BE18,N36=4,'Frame Capacities'!BF18,N36=5,'Frame Capacities'!BG18)</f>
        <v>162.6</v>
      </c>
      <c r="H36" s="62">
        <f>'Structural Information'!$U$10</f>
        <v>3</v>
      </c>
      <c r="I36" s="120">
        <f>_xlfn.IFS(N36=1,'Frame Capacities'!BO18,N36=2,'Frame Capacities'!BP18,N36=3,'Frame Capacities'!BQ18,N36=4,'Frame Capacities'!BR18,N36=5,'Frame Capacities'!BS18)</f>
        <v>6.7523273096129852E-3</v>
      </c>
      <c r="J36" s="62">
        <f>_xlfn.IFS((N36=1),('Frame Capacities'!BI18),(N36=2),('Frame Capacities'!BJ18),(N36=3),('Frame Capacities'!BK18),(N36=4),'Frame Capacities'!BL18,(N36=5),'Frame Capacities'!BM18)</f>
        <v>8026.8620750711962</v>
      </c>
      <c r="K36" s="852"/>
      <c r="L36" s="853"/>
      <c r="M36" s="854"/>
      <c r="N36" s="49">
        <v>1</v>
      </c>
      <c r="O36" s="40"/>
      <c r="P36" s="862"/>
      <c r="Q36" s="862"/>
      <c r="R36" s="862"/>
      <c r="S36" s="8"/>
      <c r="U36" s="19">
        <v>5674.1407270611107</v>
      </c>
      <c r="V36" s="29">
        <f t="shared" si="7"/>
        <v>-0.41463923106268535</v>
      </c>
    </row>
    <row r="37" spans="2:31" ht="16.5" thickBot="1" x14ac:dyDescent="0.3">
      <c r="B37" s="7"/>
      <c r="C37" s="53">
        <v>1</v>
      </c>
      <c r="D37" s="754" t="s">
        <v>42</v>
      </c>
      <c r="E37" s="755"/>
      <c r="F37" s="756"/>
      <c r="G37" s="32">
        <f>_xlfn.IFS(N37=1,'Frame Capacities'!BC19,N37=2,'Frame Capacities'!BD19,N37=3,'Frame Capacities'!BE19,N37=4,'Frame Capacities'!BF19,N37=5,'Frame Capacities'!BG19)</f>
        <v>247.23636363636362</v>
      </c>
      <c r="H37" s="32">
        <f>'Structural Information'!$U$11</f>
        <v>2.75</v>
      </c>
      <c r="I37" s="38">
        <f>_xlfn.IFS(N37=1,'Frame Capacities'!BO19,N37=2,'Frame Capacities'!BP19,N37=3,'Frame Capacities'!BQ19,N37=4,'Frame Capacities'!BR19,N37=5,'Frame Capacities'!BS19)</f>
        <v>5.3120868684138484E-3</v>
      </c>
      <c r="J37" s="32">
        <f>_xlfn.IFS((N37=1),('Frame Capacities'!BI19),(N37=2),('Frame Capacities'!BJ19),(N37=3),('Frame Capacities'!BK19),(N37=4),'Frame Capacities'!BL19,(N37=5),'Frame Capacities'!BM19)</f>
        <v>16924.446918589209</v>
      </c>
      <c r="K37" s="855"/>
      <c r="L37" s="856"/>
      <c r="M37" s="857"/>
      <c r="N37" s="54">
        <v>1</v>
      </c>
      <c r="O37" s="40"/>
      <c r="P37" s="862"/>
      <c r="Q37" s="862"/>
      <c r="R37" s="862"/>
      <c r="S37" s="8"/>
      <c r="U37" s="19">
        <v>14467.52811381129</v>
      </c>
      <c r="V37" s="29">
        <f t="shared" si="7"/>
        <v>-0.16982298464880427</v>
      </c>
    </row>
    <row r="38" spans="2:31" x14ac:dyDescent="0.25">
      <c r="B38" s="7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8"/>
    </row>
    <row r="39" spans="2:31" ht="16.5" thickBot="1" x14ac:dyDescent="0.3">
      <c r="B39" s="41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3"/>
    </row>
    <row r="41" spans="2:31" x14ac:dyDescent="0.2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</row>
    <row r="42" spans="2:31" ht="16.5" thickBot="1" x14ac:dyDescent="0.3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</row>
    <row r="43" spans="2:31" ht="16.5" thickBot="1" x14ac:dyDescent="0.3">
      <c r="B43" s="663" t="s">
        <v>379</v>
      </c>
      <c r="C43" s="664"/>
      <c r="D43" s="664"/>
      <c r="E43" s="664"/>
      <c r="F43" s="664"/>
      <c r="G43" s="664"/>
      <c r="H43" s="664"/>
      <c r="I43" s="664"/>
      <c r="J43" s="664"/>
      <c r="K43" s="664"/>
      <c r="L43" s="664"/>
      <c r="M43" s="664"/>
      <c r="N43" s="665"/>
    </row>
    <row r="44" spans="2:31" x14ac:dyDescent="0.25">
      <c r="B44" s="655" t="s">
        <v>459</v>
      </c>
      <c r="C44" s="850" t="s">
        <v>378</v>
      </c>
      <c r="D44" s="633"/>
      <c r="E44" s="633"/>
      <c r="F44" s="633"/>
      <c r="G44" s="633" t="s">
        <v>377</v>
      </c>
      <c r="H44" s="633"/>
      <c r="I44" s="633"/>
      <c r="J44" s="633"/>
      <c r="K44" s="633" t="s">
        <v>376</v>
      </c>
      <c r="L44" s="633"/>
      <c r="M44" s="633"/>
      <c r="N44" s="851"/>
    </row>
    <row r="45" spans="2:31" x14ac:dyDescent="0.25">
      <c r="B45" s="656"/>
      <c r="C45" s="501" t="s">
        <v>372</v>
      </c>
      <c r="D45" s="68" t="s">
        <v>92</v>
      </c>
      <c r="E45" s="68" t="s">
        <v>119</v>
      </c>
      <c r="F45" s="68" t="s">
        <v>364</v>
      </c>
      <c r="G45" s="68" t="s">
        <v>372</v>
      </c>
      <c r="H45" s="68" t="s">
        <v>92</v>
      </c>
      <c r="I45" s="68" t="s">
        <v>119</v>
      </c>
      <c r="J45" s="68" t="s">
        <v>364</v>
      </c>
      <c r="K45" s="68" t="s">
        <v>372</v>
      </c>
      <c r="L45" s="68" t="s">
        <v>92</v>
      </c>
      <c r="M45" s="68" t="s">
        <v>119</v>
      </c>
      <c r="N45" s="540" t="s">
        <v>364</v>
      </c>
    </row>
    <row r="46" spans="2:31" x14ac:dyDescent="0.25">
      <c r="B46" s="551">
        <v>1</v>
      </c>
      <c r="C46" s="550" t="s">
        <v>449</v>
      </c>
      <c r="D46" s="60">
        <v>0</v>
      </c>
      <c r="E46" s="60">
        <v>0</v>
      </c>
      <c r="F46" s="547" t="s">
        <v>83</v>
      </c>
      <c r="G46" s="548" t="s">
        <v>449</v>
      </c>
      <c r="H46" s="60">
        <v>0</v>
      </c>
      <c r="I46" s="60">
        <v>0</v>
      </c>
      <c r="J46" s="547" t="s">
        <v>83</v>
      </c>
      <c r="K46" s="548" t="s">
        <v>449</v>
      </c>
      <c r="L46" s="60">
        <v>0</v>
      </c>
      <c r="M46" s="60">
        <v>0</v>
      </c>
      <c r="N46" s="549" t="s">
        <v>83</v>
      </c>
    </row>
    <row r="47" spans="2:31" x14ac:dyDescent="0.25">
      <c r="B47" s="551">
        <v>2</v>
      </c>
      <c r="C47" s="61" t="s">
        <v>365</v>
      </c>
      <c r="D47" s="62">
        <f>F47*E47*$D$6</f>
        <v>240.43401860994643</v>
      </c>
      <c r="E47" s="63">
        <f>'Infill Capacities'!$CW$14</f>
        <v>2.2387978504494433E-3</v>
      </c>
      <c r="F47" s="328">
        <f>'Infill Capacities'!$CR$14+'Frame Capacities'!$BI$14</f>
        <v>35798.083714388478</v>
      </c>
      <c r="G47" s="196" t="s">
        <v>365</v>
      </c>
      <c r="H47" s="62">
        <f>J47*I47*$D$7</f>
        <v>237.40446392597082</v>
      </c>
      <c r="I47" s="63">
        <f>'Infill Capacities'!$CW$15</f>
        <v>1.92360761471166E-3</v>
      </c>
      <c r="J47" s="328">
        <f>'Infill Capacities'!$CR$15+'Frame Capacities'!$BI$15</f>
        <v>41138.754444221144</v>
      </c>
      <c r="K47" s="196" t="s">
        <v>365</v>
      </c>
      <c r="L47" s="62">
        <f>N47*M47*$D$8</f>
        <v>239.96993624289689</v>
      </c>
      <c r="M47" s="63">
        <f>'Infill Capacities'!$CW$16</f>
        <v>1.852250472241956E-3</v>
      </c>
      <c r="N47" s="194">
        <f>'Infill Capacities'!$CR$16+'Frame Capacities'!$BI$16</f>
        <v>43185.2926730869</v>
      </c>
    </row>
    <row r="48" spans="2:31" x14ac:dyDescent="0.25">
      <c r="B48" s="551">
        <v>3</v>
      </c>
      <c r="C48" s="61" t="s">
        <v>366</v>
      </c>
      <c r="D48" s="62">
        <f>D47+F48*(E48-E47)*$D$6</f>
        <v>327.40605292909697</v>
      </c>
      <c r="E48" s="63">
        <f>'Infill Capacities'!$CX$14</f>
        <v>5.3092247802367428E-3</v>
      </c>
      <c r="F48" s="328">
        <f>'Infill Capacities'!$CS$14+'Frame Capacities'!$BI$14</f>
        <v>9441.9045850382172</v>
      </c>
      <c r="G48" s="196" t="s">
        <v>366</v>
      </c>
      <c r="H48" s="62">
        <f>H47+J48*(I48-I47)*$D$7</f>
        <v>324.07173618306473</v>
      </c>
      <c r="I48" s="63">
        <f>'Infill Capacities'!$CX$15</f>
        <v>4.9157120228982953E-3</v>
      </c>
      <c r="J48" s="328">
        <f>'Infill Capacities'!$CS$15+'Frame Capacities'!$BI$15</f>
        <v>9655.1078476144721</v>
      </c>
      <c r="K48" s="196" t="s">
        <v>366</v>
      </c>
      <c r="L48" s="62">
        <f>L47+N48*(M48-M47)*$D$8</f>
        <v>331.80563595374997</v>
      </c>
      <c r="M48" s="63">
        <f>'Infill Capacities'!$CX$16</f>
        <v>4.8262441807812107E-3</v>
      </c>
      <c r="N48" s="194">
        <f>'Infill Capacities'!$CS$16+'Frame Capacities'!$BI$16</f>
        <v>10293.195918915862</v>
      </c>
    </row>
    <row r="49" spans="2:14" x14ac:dyDescent="0.25">
      <c r="B49" s="551">
        <v>4</v>
      </c>
      <c r="C49" s="64" t="s">
        <v>367</v>
      </c>
      <c r="D49" s="65">
        <f t="shared" ref="D49:D55" si="8">D48+F49*(E49-E48)*$D$6</f>
        <v>238.94710148681619</v>
      </c>
      <c r="E49" s="66">
        <f>'Frame Capacities'!$BO$14</f>
        <v>8.3119145368492249E-3</v>
      </c>
      <c r="F49" s="539">
        <f>'Infill Capacities'!$CT$14+'Frame Capacities'!$BI$14</f>
        <v>-9819.9679412408695</v>
      </c>
      <c r="G49" s="538" t="s">
        <v>367</v>
      </c>
      <c r="H49" s="65">
        <f t="shared" ref="H49:H55" si="9">H48+J49*(I49-I48)*$D$7</f>
        <v>197.26432089699409</v>
      </c>
      <c r="I49" s="66">
        <f>'Frame Capacities'!$BO$15</f>
        <v>9.597600000000003E-3</v>
      </c>
      <c r="J49" s="539">
        <f>'Infill Capacities'!$CT$15+'Frame Capacities'!$BI$15</f>
        <v>-9028.2250740344807</v>
      </c>
      <c r="K49" s="538" t="s">
        <v>367</v>
      </c>
      <c r="L49" s="65">
        <f t="shared" ref="L49:L55" si="10">L48+N49*(M49-M48)*$D$8</f>
        <v>227.91473633232641</v>
      </c>
      <c r="M49" s="66">
        <f>'Frame Capacities'!$BO$16</f>
        <v>9.015519176800749E-3</v>
      </c>
      <c r="N49" s="541">
        <f>'Infill Capacities'!$CT$16+'Frame Capacities'!$BI$16</f>
        <v>-8266.4183914190435</v>
      </c>
    </row>
    <row r="50" spans="2:14" x14ac:dyDescent="0.25">
      <c r="B50" s="551">
        <v>5</v>
      </c>
      <c r="C50" s="61" t="s">
        <v>369</v>
      </c>
      <c r="D50" s="62">
        <f t="shared" si="8"/>
        <v>117.07025350870796</v>
      </c>
      <c r="E50" s="63">
        <f>'Infill Capacities'!$CY$14</f>
        <v>1.1373557765250945E-2</v>
      </c>
      <c r="F50" s="328">
        <f>'Infill Capacities'!$CT$14+'Frame Capacities'!$BJ$14</f>
        <v>-13269.219488356473</v>
      </c>
      <c r="G50" s="196" t="s">
        <v>369</v>
      </c>
      <c r="H50" s="62">
        <f t="shared" si="9"/>
        <v>132.08424400771804</v>
      </c>
      <c r="I50" s="67">
        <f>'Infill Capacities'!$CY$15</f>
        <v>1.1331008060800379E-2</v>
      </c>
      <c r="J50" s="328">
        <f>'Infill Capacities'!$CT$15+'Frame Capacities'!$BJ$15</f>
        <v>-12534.089801332393</v>
      </c>
      <c r="K50" s="196" t="s">
        <v>369</v>
      </c>
      <c r="L50" s="62">
        <f t="shared" si="10"/>
        <v>142.36600528893064</v>
      </c>
      <c r="M50" s="67">
        <f>'Infill Capacities'!$CY$16</f>
        <v>1.1323920583558239E-2</v>
      </c>
      <c r="N50" s="194">
        <f>'Infill Capacities'!$CT$16+'Frame Capacities'!$BJ$16</f>
        <v>-12353.243070141527</v>
      </c>
    </row>
    <row r="51" spans="2:14" x14ac:dyDescent="0.25">
      <c r="B51" s="551">
        <v>6</v>
      </c>
      <c r="C51" s="64" t="s">
        <v>368</v>
      </c>
      <c r="D51" s="65">
        <f t="shared" si="8"/>
        <v>122.92666666666665</v>
      </c>
      <c r="E51" s="66">
        <f>'Frame Capacities'!$BP$14</f>
        <v>2.8023118334166125E-2</v>
      </c>
      <c r="F51" s="539">
        <f>'Infill Capacities'!$CU$14+'Frame Capacities'!$BJ$14</f>
        <v>117.24860312314878</v>
      </c>
      <c r="G51" s="538" t="s">
        <v>368</v>
      </c>
      <c r="H51" s="65">
        <f t="shared" si="9"/>
        <v>139.42666666666668</v>
      </c>
      <c r="I51" s="66">
        <f>'Frame Capacities'!$BP$15</f>
        <v>3.1719533165511238E-2</v>
      </c>
      <c r="J51" s="539">
        <f>'Infill Capacities'!$CU$15+'Frame Capacities'!$BJ$15</f>
        <v>120.04174932124162</v>
      </c>
      <c r="K51" s="538" t="s">
        <v>368</v>
      </c>
      <c r="L51" s="65">
        <f t="shared" si="10"/>
        <v>150.15999999999991</v>
      </c>
      <c r="M51" s="66">
        <f>'Frame Capacities'!$BP$16</f>
        <v>2.9821080136434718E-2</v>
      </c>
      <c r="N51" s="541">
        <f>'Infill Capacities'!$CU$16+'Frame Capacities'!$BJ$16</f>
        <v>140.45390210298984</v>
      </c>
    </row>
    <row r="52" spans="2:14" x14ac:dyDescent="0.25">
      <c r="B52" s="551">
        <v>7</v>
      </c>
      <c r="C52" s="64" t="s">
        <v>370</v>
      </c>
      <c r="D52" s="65">
        <f t="shared" si="8"/>
        <v>103.72666666666665</v>
      </c>
      <c r="E52" s="66">
        <f>'Frame Capacities'!$BQ$14</f>
        <v>6.4403834541480257E-2</v>
      </c>
      <c r="F52" s="539">
        <f>'Infill Capacities'!$CU$14+'Frame Capacities'!$BK$14</f>
        <v>-175.91737236644391</v>
      </c>
      <c r="G52" s="538" t="s">
        <v>370</v>
      </c>
      <c r="H52" s="65">
        <f t="shared" si="9"/>
        <v>116.97666666666667</v>
      </c>
      <c r="I52" s="66">
        <f>'Frame Capacities'!$BQ$15</f>
        <v>5.6602310629293419E-2</v>
      </c>
      <c r="J52" s="539">
        <f>'Infill Capacities'!$CU$15+'Frame Capacities'!$BK$15</f>
        <v>-300.74348991890503</v>
      </c>
      <c r="K52" s="538" t="s">
        <v>370</v>
      </c>
      <c r="L52" s="65">
        <f t="shared" si="10"/>
        <v>125.55999999999993</v>
      </c>
      <c r="M52" s="66">
        <f>'Frame Capacities'!$BQ$16</f>
        <v>4.8716939975610989E-2</v>
      </c>
      <c r="N52" s="541">
        <f>'Infill Capacities'!$CU$16+'Frame Capacities'!$BK$16</f>
        <v>-433.95749491108933</v>
      </c>
    </row>
    <row r="53" spans="2:14" x14ac:dyDescent="0.25">
      <c r="B53" s="551">
        <v>8</v>
      </c>
      <c r="C53" s="61" t="s">
        <v>371</v>
      </c>
      <c r="D53" s="62">
        <f t="shared" si="8"/>
        <v>95.495757327301376</v>
      </c>
      <c r="E53" s="63">
        <f>'Infill Capacities'!$CZ$14</f>
        <v>0.08</v>
      </c>
      <c r="F53" s="328">
        <f>'Infill Capacities'!$CU$14+'Frame Capacities'!$BL$14</f>
        <v>-175.91737236644391</v>
      </c>
      <c r="G53" s="196" t="s">
        <v>371</v>
      </c>
      <c r="H53" s="62">
        <f t="shared" si="9"/>
        <v>95.866558394512367</v>
      </c>
      <c r="I53" s="63">
        <f>'Infill Capacities'!$CZ$15</f>
        <v>0.08</v>
      </c>
      <c r="J53" s="328">
        <f>'Infill Capacities'!$CU$15+'Frame Capacities'!$BL$15</f>
        <v>-300.74348991890503</v>
      </c>
      <c r="K53" s="196" t="s">
        <v>371</v>
      </c>
      <c r="L53" s="62">
        <f t="shared" si="10"/>
        <v>84.833444915988636</v>
      </c>
      <c r="M53" s="63">
        <f>'Infill Capacities'!$CZ$16</f>
        <v>0.08</v>
      </c>
      <c r="N53" s="194">
        <f>'Infill Capacities'!$CU$16+'Frame Capacities'!$BL$16</f>
        <v>-433.95749491108933</v>
      </c>
    </row>
    <row r="54" spans="2:14" x14ac:dyDescent="0.25">
      <c r="B54" s="551">
        <v>9</v>
      </c>
      <c r="C54" s="64" t="s">
        <v>447</v>
      </c>
      <c r="D54" s="65">
        <f t="shared" si="8"/>
        <v>36.659999999999968</v>
      </c>
      <c r="E54" s="66">
        <f>'Frame Capacities'!$BR$14</f>
        <v>0.19148369740452892</v>
      </c>
      <c r="F54" s="539">
        <f>'Frame Capacities'!$BL$14</f>
        <v>-175.91737236644391</v>
      </c>
      <c r="G54" s="538" t="s">
        <v>447</v>
      </c>
      <c r="H54" s="65">
        <f t="shared" si="9"/>
        <v>38.260000000000019</v>
      </c>
      <c r="I54" s="66">
        <f>'Frame Capacities'!$BR$15</f>
        <v>0.14384905002160464</v>
      </c>
      <c r="J54" s="539">
        <f>'Frame Capacities'!$BL$15</f>
        <v>-300.74348991890503</v>
      </c>
      <c r="K54" s="538" t="s">
        <v>447</v>
      </c>
      <c r="L54" s="65">
        <f t="shared" si="10"/>
        <v>39.326666666666611</v>
      </c>
      <c r="M54" s="66">
        <f>'Frame Capacities'!$BR$16</f>
        <v>0.11495486599722216</v>
      </c>
      <c r="N54" s="541">
        <f>'Frame Capacities'!$BL$16</f>
        <v>-433.95749491108933</v>
      </c>
    </row>
    <row r="55" spans="2:14" ht="16.5" thickBot="1" x14ac:dyDescent="0.3">
      <c r="B55" s="551">
        <v>10</v>
      </c>
      <c r="C55" s="64" t="s">
        <v>448</v>
      </c>
      <c r="D55" s="65">
        <f t="shared" si="8"/>
        <v>36.659999999999968</v>
      </c>
      <c r="E55" s="66">
        <f>'Frame Capacities'!$BS$14</f>
        <v>0.2</v>
      </c>
      <c r="F55" s="539">
        <f>'Frame Capacities'!$BM$14</f>
        <v>0</v>
      </c>
      <c r="G55" s="538" t="s">
        <v>448</v>
      </c>
      <c r="H55" s="65">
        <f t="shared" si="9"/>
        <v>38.260000000000019</v>
      </c>
      <c r="I55" s="66">
        <f>'Frame Capacities'!$BS$15</f>
        <v>0.2</v>
      </c>
      <c r="J55" s="539">
        <f>'Frame Capacities'!$BM$15</f>
        <v>0</v>
      </c>
      <c r="K55" s="538" t="s">
        <v>448</v>
      </c>
      <c r="L55" s="65">
        <f t="shared" si="10"/>
        <v>39.326666666666611</v>
      </c>
      <c r="M55" s="66">
        <f>'Frame Capacities'!$BS$16</f>
        <v>0.2</v>
      </c>
      <c r="N55" s="541">
        <f>'Frame Capacities'!$BM$16</f>
        <v>0</v>
      </c>
    </row>
    <row r="56" spans="2:14" ht="16.5" thickBot="1" x14ac:dyDescent="0.3">
      <c r="B56" s="663" t="s">
        <v>380</v>
      </c>
      <c r="C56" s="664"/>
      <c r="D56" s="664"/>
      <c r="E56" s="664"/>
      <c r="F56" s="664"/>
      <c r="G56" s="664"/>
      <c r="H56" s="664"/>
      <c r="I56" s="664"/>
      <c r="J56" s="664"/>
      <c r="K56" s="664"/>
      <c r="L56" s="664"/>
      <c r="M56" s="664"/>
      <c r="N56" s="665"/>
    </row>
    <row r="57" spans="2:14" x14ac:dyDescent="0.25">
      <c r="B57" s="655" t="s">
        <v>459</v>
      </c>
      <c r="C57" s="850" t="s">
        <v>375</v>
      </c>
      <c r="D57" s="633"/>
      <c r="E57" s="633"/>
      <c r="F57" s="633"/>
      <c r="G57" s="633" t="s">
        <v>374</v>
      </c>
      <c r="H57" s="633"/>
      <c r="I57" s="633"/>
      <c r="J57" s="633"/>
      <c r="K57" s="633" t="s">
        <v>373</v>
      </c>
      <c r="L57" s="633"/>
      <c r="M57" s="633"/>
      <c r="N57" s="851"/>
    </row>
    <row r="58" spans="2:14" x14ac:dyDescent="0.25">
      <c r="B58" s="656"/>
      <c r="C58" s="501" t="s">
        <v>372</v>
      </c>
      <c r="D58" s="68" t="s">
        <v>92</v>
      </c>
      <c r="E58" s="68" t="s">
        <v>119</v>
      </c>
      <c r="F58" s="68" t="s">
        <v>364</v>
      </c>
      <c r="G58" s="68" t="s">
        <v>372</v>
      </c>
      <c r="H58" s="68" t="s">
        <v>92</v>
      </c>
      <c r="I58" s="68" t="s">
        <v>119</v>
      </c>
      <c r="J58" s="68" t="s">
        <v>364</v>
      </c>
      <c r="K58" s="68" t="s">
        <v>372</v>
      </c>
      <c r="L58" s="68" t="s">
        <v>92</v>
      </c>
      <c r="M58" s="68" t="s">
        <v>119</v>
      </c>
      <c r="N58" s="540" t="s">
        <v>364</v>
      </c>
    </row>
    <row r="59" spans="2:14" x14ac:dyDescent="0.25">
      <c r="B59" s="551">
        <v>1</v>
      </c>
      <c r="C59" s="550" t="s">
        <v>449</v>
      </c>
      <c r="D59" s="60">
        <v>0</v>
      </c>
      <c r="E59" s="60">
        <v>0</v>
      </c>
      <c r="F59" s="547" t="s">
        <v>83</v>
      </c>
      <c r="G59" s="548" t="s">
        <v>449</v>
      </c>
      <c r="H59" s="60">
        <v>0</v>
      </c>
      <c r="I59" s="60">
        <v>0</v>
      </c>
      <c r="J59" s="547" t="s">
        <v>83</v>
      </c>
      <c r="K59" s="548" t="s">
        <v>449</v>
      </c>
      <c r="L59" s="60">
        <v>0</v>
      </c>
      <c r="M59" s="60">
        <v>0</v>
      </c>
      <c r="N59" s="549" t="s">
        <v>83</v>
      </c>
    </row>
    <row r="60" spans="2:14" x14ac:dyDescent="0.25">
      <c r="B60" s="551">
        <v>2</v>
      </c>
      <c r="C60" s="61" t="s">
        <v>365</v>
      </c>
      <c r="D60" s="62">
        <f>F60*E60*$D$9</f>
        <v>247.61383551340651</v>
      </c>
      <c r="E60" s="63">
        <f>'Infill Capacities'!$CW$17</f>
        <v>1.7915672005543457E-3</v>
      </c>
      <c r="F60" s="328">
        <f>'Infill Capacities'!$CR$17+'Frame Capacities'!$BI$17</f>
        <v>46070.247962564099</v>
      </c>
      <c r="G60" s="196" t="s">
        <v>365</v>
      </c>
      <c r="H60" s="62">
        <f>J60*I60*$D$10</f>
        <v>257.18625560792617</v>
      </c>
      <c r="I60" s="63">
        <f>'Infill Capacities'!$CW$18</f>
        <v>1.7342707198796904E-3</v>
      </c>
      <c r="J60" s="328">
        <f>'Infill Capacities'!$CR$18+'Frame Capacities'!$BI$18</f>
        <v>49432.162399222128</v>
      </c>
      <c r="K60" s="196" t="s">
        <v>365</v>
      </c>
      <c r="L60" s="62">
        <f>N60*M60*$D$11</f>
        <v>291.03258784426777</v>
      </c>
      <c r="M60" s="63">
        <f>'Infill Capacities'!$CW$19</f>
        <v>1.7606502644787157E-3</v>
      </c>
      <c r="N60" s="194">
        <f>'Infill Capacities'!$CR$19+'Frame Capacities'!$BI$19</f>
        <v>60108.491776306131</v>
      </c>
    </row>
    <row r="61" spans="2:14" x14ac:dyDescent="0.25">
      <c r="B61" s="551">
        <v>3</v>
      </c>
      <c r="C61" s="61" t="s">
        <v>366</v>
      </c>
      <c r="D61" s="62">
        <f>D60+F61*(E61-E60)*$D$9</f>
        <v>354.77552945579492</v>
      </c>
      <c r="E61" s="63">
        <f>'Infill Capacities'!$CX$17</f>
        <v>4.7583649908132346E-3</v>
      </c>
      <c r="F61" s="328">
        <f>'Infill Capacities'!$CS$17+'Frame Capacities'!$BI$17</f>
        <v>12040.107608528908</v>
      </c>
      <c r="G61" s="196" t="s">
        <v>366</v>
      </c>
      <c r="H61" s="62">
        <f t="shared" ref="H61:H68" si="11">H60+J61*(I61-I60)*$D$10</f>
        <v>382.13854415267815</v>
      </c>
      <c r="I61" s="63">
        <f>'Infill Capacities'!$CX$18</f>
        <v>4.6867025203277445E-3</v>
      </c>
      <c r="J61" s="328">
        <f>'Infill Capacities'!$CS$18+'Frame Capacities'!$BI$18</f>
        <v>14107.273482804863</v>
      </c>
      <c r="K61" s="196" t="s">
        <v>366</v>
      </c>
      <c r="L61" s="62">
        <f>L60+N61*(M61-M60)*$D$11</f>
        <v>485.74225564551699</v>
      </c>
      <c r="M61" s="63">
        <f>'Infill Capacities'!$CX$19</f>
        <v>4.8210466138093565E-3</v>
      </c>
      <c r="N61" s="194">
        <f>'Infill Capacities'!$CS$19+'Frame Capacities'!$BI$19</f>
        <v>23135.40714410293</v>
      </c>
    </row>
    <row r="62" spans="2:14" x14ac:dyDescent="0.25">
      <c r="B62" s="551">
        <v>4</v>
      </c>
      <c r="C62" s="64" t="s">
        <v>367</v>
      </c>
      <c r="D62" s="65">
        <f t="shared" ref="D62:D68" si="12">D61+F62*(E62-E61)*$D$9</f>
        <v>282.48841688714219</v>
      </c>
      <c r="E62" s="66">
        <f>'Frame Capacities'!$BO$17</f>
        <v>8.5822017391304368E-3</v>
      </c>
      <c r="F62" s="539">
        <f>'Infill Capacities'!$CT$17+'Frame Capacities'!$BI$17</f>
        <v>-6301.4468910460091</v>
      </c>
      <c r="G62" s="538" t="s">
        <v>367</v>
      </c>
      <c r="H62" s="65">
        <f t="shared" si="11"/>
        <v>356.46245323197371</v>
      </c>
      <c r="I62" s="66">
        <f>'Frame Capacities'!$BO$18</f>
        <v>6.7523273096129852E-3</v>
      </c>
      <c r="J62" s="539">
        <f>'Infill Capacities'!$CT$18+'Frame Capacities'!$BI$18</f>
        <v>-4143.393813805691</v>
      </c>
      <c r="K62" s="538" t="s">
        <v>367</v>
      </c>
      <c r="L62" s="65">
        <f t="shared" ref="L62:L68" si="13">L61+N62*(M62-M61)*$D$11</f>
        <v>491.31668146795431</v>
      </c>
      <c r="M62" s="66">
        <f>'Frame Capacities'!$BO$19</f>
        <v>5.3120868684138484E-3</v>
      </c>
      <c r="N62" s="541">
        <f>'Infill Capacities'!$CT$19+'Frame Capacities'!$BI$19</f>
        <v>4128.1013448977683</v>
      </c>
    </row>
    <row r="63" spans="2:14" x14ac:dyDescent="0.25">
      <c r="B63" s="551">
        <v>5</v>
      </c>
      <c r="C63" s="61" t="s">
        <v>369</v>
      </c>
      <c r="D63" s="62">
        <f t="shared" si="12"/>
        <v>182.73214085654118</v>
      </c>
      <c r="E63" s="63">
        <f>'Infill Capacities'!$CY$17</f>
        <v>1.1331200497500006E-2</v>
      </c>
      <c r="F63" s="328">
        <f>'Infill Capacities'!$CT$17+'Frame Capacities'!$BJ$17</f>
        <v>-12096.073855603394</v>
      </c>
      <c r="G63" s="196" t="s">
        <v>369</v>
      </c>
      <c r="H63" s="62">
        <f t="shared" si="11"/>
        <v>193.88932596359973</v>
      </c>
      <c r="I63" s="63">
        <f>'Infill Capacities'!$CY$18</f>
        <v>1.1324525154265398E-2</v>
      </c>
      <c r="J63" s="328">
        <f>'Infill Capacities'!$CT$18+'Frame Capacities'!$BJ$18</f>
        <v>-11852.296043175935</v>
      </c>
      <c r="K63" s="196" t="s">
        <v>369</v>
      </c>
      <c r="L63" s="62">
        <f t="shared" si="13"/>
        <v>283.47278688412854</v>
      </c>
      <c r="M63" s="63">
        <f>'Infill Capacities'!$CY$19</f>
        <v>1.150545502614992E-2</v>
      </c>
      <c r="N63" s="194">
        <f>'Infill Capacities'!$CT$19+'Frame Capacities'!$BJ$19</f>
        <v>-12203.311042647514</v>
      </c>
    </row>
    <row r="64" spans="2:14" x14ac:dyDescent="0.25">
      <c r="B64" s="551">
        <v>6</v>
      </c>
      <c r="C64" s="64" t="s">
        <v>368</v>
      </c>
      <c r="D64" s="65">
        <f t="shared" si="12"/>
        <v>193.02799999999996</v>
      </c>
      <c r="E64" s="66">
        <f>'Frame Capacities'!$BP$17</f>
        <v>2.8975102456796992E-2</v>
      </c>
      <c r="F64" s="539">
        <f>'Infill Capacities'!$CU$17+'Frame Capacities'!$BJ$17</f>
        <v>194.51213545262391</v>
      </c>
      <c r="G64" s="538" t="s">
        <v>368</v>
      </c>
      <c r="H64" s="65">
        <f t="shared" si="11"/>
        <v>200.22800000000007</v>
      </c>
      <c r="I64" s="66">
        <f>'Frame Capacities'!$BP$18</f>
        <v>1.7969676653848146E-2</v>
      </c>
      <c r="J64" s="539">
        <f>'Infill Capacities'!$CU$18+'Frame Capacities'!$BJ$18</f>
        <v>317.95984570095158</v>
      </c>
      <c r="K64" s="538" t="s">
        <v>368</v>
      </c>
      <c r="L64" s="65">
        <f t="shared" si="13"/>
        <v>287.93600000000009</v>
      </c>
      <c r="M64" s="66">
        <f>'Frame Capacities'!$BP$19</f>
        <v>1.4242203904385879E-2</v>
      </c>
      <c r="N64" s="541">
        <f>'Infill Capacities'!$CU$19+'Frame Capacities'!$BJ$19</f>
        <v>593.03453104392634</v>
      </c>
    </row>
    <row r="65" spans="2:14" x14ac:dyDescent="0.25">
      <c r="B65" s="551">
        <v>7</v>
      </c>
      <c r="C65" s="64" t="s">
        <v>370</v>
      </c>
      <c r="D65" s="65">
        <f t="shared" si="12"/>
        <v>159.76133333333331</v>
      </c>
      <c r="E65" s="66">
        <f>'Frame Capacities'!$BQ$17</f>
        <v>3.9235288978600957E-2</v>
      </c>
      <c r="F65" s="539">
        <f>'Infill Capacities'!$CU$17+'Frame Capacities'!$BK$17</f>
        <v>-1080.7687428804379</v>
      </c>
      <c r="G65" s="538" t="s">
        <v>370</v>
      </c>
      <c r="H65" s="65">
        <f t="shared" si="11"/>
        <v>186.16133333333335</v>
      </c>
      <c r="I65" s="66">
        <f>'Frame Capacities'!$BQ$18</f>
        <v>2.090360185997998E-2</v>
      </c>
      <c r="J65" s="539">
        <f>'Infill Capacities'!$CU$18+'Frame Capacities'!$BK$18</f>
        <v>-1598.1623795621101</v>
      </c>
      <c r="K65" s="538" t="s">
        <v>370</v>
      </c>
      <c r="L65" s="65">
        <f t="shared" si="13"/>
        <v>239.13600000000008</v>
      </c>
      <c r="M65" s="66">
        <f>'Frame Capacities'!$BQ$19</f>
        <v>2.1259367786369124E-2</v>
      </c>
      <c r="N65" s="541">
        <f>'Infill Capacities'!$CU$19+'Frame Capacities'!$BK$19</f>
        <v>-2528.8642026754537</v>
      </c>
    </row>
    <row r="66" spans="2:14" x14ac:dyDescent="0.25">
      <c r="B66" s="551">
        <v>8</v>
      </c>
      <c r="C66" s="64" t="s">
        <v>447</v>
      </c>
      <c r="D66" s="65">
        <f t="shared" si="12"/>
        <v>43.527999999999963</v>
      </c>
      <c r="E66" s="66">
        <f>'Frame Capacities'!$BR$17</f>
        <v>7.5084257316807818E-2</v>
      </c>
      <c r="F66" s="539">
        <f>'Infill Capacities'!$CU$17+'Frame Capacities'!$BL$17</f>
        <v>-1080.7687428804379</v>
      </c>
      <c r="G66" s="538" t="s">
        <v>447</v>
      </c>
      <c r="H66" s="65">
        <f t="shared" si="11"/>
        <v>86.961333333333386</v>
      </c>
      <c r="I66" s="66">
        <f>'Frame Capacities'!$BR$18</f>
        <v>4.1594031749667901E-2</v>
      </c>
      <c r="J66" s="539">
        <f>'Infill Capacities'!$CU$18+'Frame Capacities'!$BL$18</f>
        <v>-1598.1623795621101</v>
      </c>
      <c r="K66" s="538" t="s">
        <v>447</v>
      </c>
      <c r="L66" s="65">
        <f t="shared" si="13"/>
        <v>52.754181818181905</v>
      </c>
      <c r="M66" s="66">
        <f>'Frame Capacities'!$BR$19</f>
        <v>4.8060018663496629E-2</v>
      </c>
      <c r="N66" s="541">
        <f>'Infill Capacities'!$CU$19+'Frame Capacities'!$BL$19</f>
        <v>-2528.8642026754537</v>
      </c>
    </row>
    <row r="67" spans="2:14" x14ac:dyDescent="0.25">
      <c r="B67" s="551">
        <v>9</v>
      </c>
      <c r="C67" s="63" t="s">
        <v>371</v>
      </c>
      <c r="D67" s="62">
        <f t="shared" si="12"/>
        <v>43.527999999999963</v>
      </c>
      <c r="E67" s="63">
        <f>'Infill Capacities'!$CZ$17</f>
        <v>0.08</v>
      </c>
      <c r="F67" s="328">
        <f>'Infill Capacities'!$CU$17+'Frame Capacities'!$BM$17</f>
        <v>0</v>
      </c>
      <c r="G67" s="269" t="s">
        <v>371</v>
      </c>
      <c r="H67" s="62">
        <f t="shared" si="11"/>
        <v>86.961333333333386</v>
      </c>
      <c r="I67" s="63">
        <f>'Infill Capacities'!$CZ$18</f>
        <v>0.08</v>
      </c>
      <c r="J67" s="328">
        <f>'Infill Capacities'!$CU$18+'Frame Capacities'!$BM$18</f>
        <v>0</v>
      </c>
      <c r="K67" s="269" t="s">
        <v>371</v>
      </c>
      <c r="L67" s="62">
        <f t="shared" si="13"/>
        <v>52.754181818181905</v>
      </c>
      <c r="M67" s="63">
        <f>'Infill Capacities'!$CZ$19</f>
        <v>0.08</v>
      </c>
      <c r="N67" s="194">
        <f>'Infill Capacities'!$CU$19+'Frame Capacities'!$BM$19</f>
        <v>0</v>
      </c>
    </row>
    <row r="68" spans="2:14" ht="16.5" thickBot="1" x14ac:dyDescent="0.3">
      <c r="B68" s="552">
        <v>10</v>
      </c>
      <c r="C68" s="553" t="s">
        <v>448</v>
      </c>
      <c r="D68" s="542">
        <f t="shared" si="12"/>
        <v>43.527999999999963</v>
      </c>
      <c r="E68" s="543">
        <f>'Frame Capacities'!$BS$17</f>
        <v>0.2</v>
      </c>
      <c r="F68" s="544">
        <f>'Frame Capacities'!$BM$17</f>
        <v>0</v>
      </c>
      <c r="G68" s="545" t="s">
        <v>448</v>
      </c>
      <c r="H68" s="542">
        <f t="shared" si="11"/>
        <v>86.961333333333386</v>
      </c>
      <c r="I68" s="543">
        <f>'Frame Capacities'!$BS$18</f>
        <v>0.2</v>
      </c>
      <c r="J68" s="544">
        <f>'Frame Capacities'!$BM$18</f>
        <v>0</v>
      </c>
      <c r="K68" s="545" t="s">
        <v>448</v>
      </c>
      <c r="L68" s="542">
        <f t="shared" si="13"/>
        <v>52.754181818181905</v>
      </c>
      <c r="M68" s="543">
        <f>'Frame Capacities'!$BS$19</f>
        <v>0.2</v>
      </c>
      <c r="N68" s="546">
        <f>'Frame Capacities'!$BM$19</f>
        <v>0</v>
      </c>
    </row>
    <row r="69" spans="2:14" x14ac:dyDescent="0.25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</row>
    <row r="70" spans="2:14" x14ac:dyDescent="0.25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</row>
  </sheetData>
  <mergeCells count="38">
    <mergeCell ref="U30:V30"/>
    <mergeCell ref="U4:V4"/>
    <mergeCell ref="U17:V17"/>
    <mergeCell ref="M4:R4"/>
    <mergeCell ref="B28:S29"/>
    <mergeCell ref="C4:J4"/>
    <mergeCell ref="B2:S3"/>
    <mergeCell ref="B15:S16"/>
    <mergeCell ref="D23:F23"/>
    <mergeCell ref="K18:M24"/>
    <mergeCell ref="C17:N17"/>
    <mergeCell ref="P17:R24"/>
    <mergeCell ref="D24:F24"/>
    <mergeCell ref="D18:F18"/>
    <mergeCell ref="D19:F19"/>
    <mergeCell ref="D20:F20"/>
    <mergeCell ref="D21:F21"/>
    <mergeCell ref="D22:F22"/>
    <mergeCell ref="C30:N30"/>
    <mergeCell ref="P30:R37"/>
    <mergeCell ref="D35:F35"/>
    <mergeCell ref="D36:F36"/>
    <mergeCell ref="D37:F37"/>
    <mergeCell ref="D31:F31"/>
    <mergeCell ref="D32:F32"/>
    <mergeCell ref="D33:F33"/>
    <mergeCell ref="D34:F34"/>
    <mergeCell ref="B43:N43"/>
    <mergeCell ref="B56:N56"/>
    <mergeCell ref="B57:B58"/>
    <mergeCell ref="B44:B45"/>
    <mergeCell ref="K31:M37"/>
    <mergeCell ref="C44:F44"/>
    <mergeCell ref="G44:J44"/>
    <mergeCell ref="K44:N44"/>
    <mergeCell ref="C57:F57"/>
    <mergeCell ref="G57:J57"/>
    <mergeCell ref="K57:N57"/>
  </mergeCells>
  <conditionalFormatting sqref="N19:N24">
    <cfRule type="cellIs" dxfId="7" priority="9" operator="equal">
      <formula>4</formula>
    </cfRule>
    <cfRule type="cellIs" dxfId="6" priority="10" operator="equal">
      <formula>3</formula>
    </cfRule>
    <cfRule type="cellIs" dxfId="5" priority="11" operator="equal">
      <formula>2</formula>
    </cfRule>
    <cfRule type="cellIs" dxfId="4" priority="12" operator="equal">
      <formula>1</formula>
    </cfRule>
  </conditionalFormatting>
  <conditionalFormatting sqref="N32:N37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5883-B2F1-455E-A103-A5C25C00F2BB}">
  <sheetPr codeName="Sheet1"/>
  <dimension ref="A1:AL142"/>
  <sheetViews>
    <sheetView tabSelected="1" topLeftCell="K40" zoomScale="80" zoomScaleNormal="80" workbookViewId="0">
      <selection activeCell="X73" sqref="X73"/>
    </sheetView>
  </sheetViews>
  <sheetFormatPr defaultRowHeight="15.75" x14ac:dyDescent="0.25"/>
  <cols>
    <col min="1" max="1" width="13.85546875" style="6" bestFit="1" customWidth="1"/>
    <col min="2" max="2" width="10.5703125" style="6" customWidth="1"/>
    <col min="3" max="3" width="12.42578125" style="6" bestFit="1" customWidth="1"/>
    <col min="4" max="4" width="13.42578125" style="6" bestFit="1" customWidth="1"/>
    <col min="5" max="5" width="10.28515625" style="6" customWidth="1"/>
    <col min="6" max="6" width="14.7109375" style="6" customWidth="1"/>
    <col min="7" max="7" width="14.85546875" style="6" bestFit="1" customWidth="1"/>
    <col min="8" max="8" width="11.28515625" style="6" customWidth="1"/>
    <col min="9" max="9" width="13.42578125" style="6" bestFit="1" customWidth="1"/>
    <col min="10" max="10" width="12.28515625" style="6" customWidth="1"/>
    <col min="11" max="11" width="13.42578125" style="6" bestFit="1" customWidth="1"/>
    <col min="12" max="12" width="11.7109375" style="6" bestFit="1" customWidth="1"/>
    <col min="13" max="13" width="12.85546875" style="6" bestFit="1" customWidth="1"/>
    <col min="14" max="14" width="14.85546875" style="6" bestFit="1" customWidth="1"/>
    <col min="15" max="15" width="12" style="6" bestFit="1" customWidth="1"/>
    <col min="16" max="16" width="10.85546875" style="6" customWidth="1"/>
    <col min="17" max="17" width="9.140625" style="6"/>
    <col min="18" max="19" width="12.140625" style="6" bestFit="1" customWidth="1"/>
    <col min="20" max="21" width="9.140625" style="6"/>
    <col min="22" max="22" width="10.42578125" style="6" customWidth="1"/>
    <col min="23" max="23" width="10.28515625" style="6" bestFit="1" customWidth="1"/>
    <col min="24" max="24" width="8.7109375" style="6" customWidth="1"/>
    <col min="25" max="25" width="10" style="6" customWidth="1"/>
    <col min="26" max="26" width="11.5703125" style="6" customWidth="1"/>
    <col min="27" max="27" width="12.42578125" style="6" bestFit="1" customWidth="1"/>
    <col min="28" max="28" width="12.42578125" style="6" customWidth="1"/>
    <col min="29" max="29" width="12.42578125" style="6" bestFit="1" customWidth="1"/>
    <col min="30" max="30" width="12.42578125" style="6" customWidth="1"/>
    <col min="31" max="31" width="10.85546875" style="6" bestFit="1" customWidth="1"/>
    <col min="32" max="32" width="11.7109375" style="6" customWidth="1"/>
    <col min="33" max="33" width="12.85546875" style="6" bestFit="1" customWidth="1"/>
    <col min="34" max="34" width="14.85546875" style="6" bestFit="1" customWidth="1"/>
    <col min="35" max="35" width="12" style="6" bestFit="1" customWidth="1"/>
    <col min="36" max="36" width="9.42578125" style="6" customWidth="1"/>
    <col min="37" max="37" width="13.7109375" style="6" bestFit="1" customWidth="1"/>
    <col min="38" max="16384" width="9.140625" style="6"/>
  </cols>
  <sheetData>
    <row r="1" spans="1:38" ht="16.5" thickBot="1" x14ac:dyDescent="0.3">
      <c r="A1" s="876" t="s">
        <v>99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7"/>
      <c r="O1" s="877"/>
      <c r="P1" s="878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</row>
    <row r="2" spans="1:38" ht="16.5" thickBot="1" x14ac:dyDescent="0.3">
      <c r="A2" s="879"/>
      <c r="B2" s="880"/>
      <c r="C2" s="880"/>
      <c r="D2" s="880"/>
      <c r="E2" s="880"/>
      <c r="F2" s="880"/>
      <c r="G2" s="880"/>
      <c r="H2" s="880"/>
      <c r="I2" s="880"/>
      <c r="J2" s="880"/>
      <c r="K2" s="880"/>
      <c r="L2" s="880"/>
      <c r="M2" s="880"/>
      <c r="N2" s="880"/>
      <c r="O2" s="880"/>
      <c r="P2" s="881"/>
      <c r="Q2" s="40"/>
      <c r="R2" s="803" t="s">
        <v>271</v>
      </c>
      <c r="S2" s="805"/>
      <c r="T2" s="4"/>
      <c r="U2" s="803" t="s">
        <v>271</v>
      </c>
      <c r="V2" s="804"/>
      <c r="W2" s="804"/>
      <c r="X2" s="804"/>
      <c r="Y2" s="804"/>
      <c r="Z2" s="804"/>
      <c r="AA2" s="804"/>
      <c r="AB2" s="804"/>
      <c r="AC2" s="804"/>
      <c r="AD2" s="804"/>
      <c r="AE2" s="804"/>
      <c r="AF2" s="804"/>
      <c r="AG2" s="804"/>
      <c r="AH2" s="804"/>
      <c r="AI2" s="804"/>
      <c r="AJ2" s="805"/>
      <c r="AK2" s="40"/>
      <c r="AL2" s="40"/>
    </row>
    <row r="3" spans="1:38" x14ac:dyDescent="0.25">
      <c r="A3" s="635" t="s">
        <v>0</v>
      </c>
      <c r="B3" s="588" t="s">
        <v>89</v>
      </c>
      <c r="C3" s="588" t="s">
        <v>90</v>
      </c>
      <c r="D3" s="590" t="s">
        <v>91</v>
      </c>
      <c r="E3" s="588" t="s">
        <v>93</v>
      </c>
      <c r="F3" s="588" t="s">
        <v>94</v>
      </c>
      <c r="G3" s="590" t="s">
        <v>461</v>
      </c>
      <c r="H3" s="590" t="s">
        <v>462</v>
      </c>
      <c r="I3" s="590" t="s">
        <v>463</v>
      </c>
      <c r="J3" s="590" t="s">
        <v>464</v>
      </c>
      <c r="K3" s="590" t="s">
        <v>208</v>
      </c>
      <c r="L3" s="590" t="s">
        <v>207</v>
      </c>
      <c r="M3" s="590" t="s">
        <v>209</v>
      </c>
      <c r="N3" s="593" t="s">
        <v>210</v>
      </c>
      <c r="O3" s="899" t="s">
        <v>394</v>
      </c>
      <c r="P3" s="875" t="s">
        <v>456</v>
      </c>
      <c r="Q3" s="40"/>
      <c r="R3" s="633" t="s">
        <v>98</v>
      </c>
      <c r="S3" s="587" t="s">
        <v>97</v>
      </c>
      <c r="T3" s="40"/>
      <c r="U3" s="587" t="s">
        <v>0</v>
      </c>
      <c r="V3" s="587" t="s">
        <v>89</v>
      </c>
      <c r="W3" s="587" t="s">
        <v>119</v>
      </c>
      <c r="X3" s="633" t="s">
        <v>91</v>
      </c>
      <c r="Y3" s="587" t="s">
        <v>93</v>
      </c>
      <c r="Z3" s="587" t="s">
        <v>94</v>
      </c>
      <c r="AA3" s="590" t="s">
        <v>461</v>
      </c>
      <c r="AB3" s="590" t="s">
        <v>462</v>
      </c>
      <c r="AC3" s="590" t="s">
        <v>463</v>
      </c>
      <c r="AD3" s="590" t="s">
        <v>464</v>
      </c>
      <c r="AE3" s="896" t="s">
        <v>208</v>
      </c>
      <c r="AF3" s="896" t="s">
        <v>207</v>
      </c>
      <c r="AG3" s="896" t="s">
        <v>209</v>
      </c>
      <c r="AH3" s="896" t="s">
        <v>210</v>
      </c>
      <c r="AI3" s="897" t="s">
        <v>394</v>
      </c>
      <c r="AJ3" s="875" t="s">
        <v>456</v>
      </c>
      <c r="AK3" s="895" t="s">
        <v>267</v>
      </c>
      <c r="AL3" s="40"/>
    </row>
    <row r="4" spans="1:38" x14ac:dyDescent="0.25">
      <c r="A4" s="635"/>
      <c r="B4" s="588"/>
      <c r="C4" s="588"/>
      <c r="D4" s="590"/>
      <c r="E4" s="588"/>
      <c r="F4" s="588"/>
      <c r="G4" s="590"/>
      <c r="H4" s="590"/>
      <c r="I4" s="590"/>
      <c r="J4" s="590"/>
      <c r="K4" s="590"/>
      <c r="L4" s="590"/>
      <c r="M4" s="590"/>
      <c r="N4" s="593"/>
      <c r="O4" s="899"/>
      <c r="P4" s="875"/>
      <c r="Q4" s="40"/>
      <c r="R4" s="590"/>
      <c r="S4" s="588"/>
      <c r="T4" s="40"/>
      <c r="U4" s="588"/>
      <c r="V4" s="588"/>
      <c r="W4" s="588"/>
      <c r="X4" s="590"/>
      <c r="Y4" s="588"/>
      <c r="Z4" s="588"/>
      <c r="AA4" s="590"/>
      <c r="AB4" s="590"/>
      <c r="AC4" s="590"/>
      <c r="AD4" s="590"/>
      <c r="AE4" s="633"/>
      <c r="AF4" s="633"/>
      <c r="AG4" s="633"/>
      <c r="AH4" s="633"/>
      <c r="AI4" s="898"/>
      <c r="AJ4" s="875"/>
      <c r="AK4" s="895"/>
      <c r="AL4" s="40"/>
    </row>
    <row r="5" spans="1:38" x14ac:dyDescent="0.25">
      <c r="A5" s="314">
        <v>6</v>
      </c>
      <c r="B5" s="70">
        <f>B6+'Structural Information'!U6</f>
        <v>17.75</v>
      </c>
      <c r="C5" s="71">
        <f>(D5-D6)/(B5-B6)</f>
        <v>2.2640313623975157E-4</v>
      </c>
      <c r="D5" s="428">
        <f>_xlfn.IFS(($C$25=1),($C$31*B5),($C$25=2),($C$31*(B5-B6)*((4*$B$5-B5)/(4*$B$5-$B$10))),($C$25=3),(C36))</f>
        <v>8.8706777552100251E-3</v>
      </c>
      <c r="E5" s="70">
        <f>'Structural Information'!$Z$6</f>
        <v>37.8446</v>
      </c>
      <c r="F5" s="71">
        <f t="shared" ref="F5:F10" si="0">E5*D5</f>
        <v>0.33570725137482132</v>
      </c>
      <c r="G5" s="70">
        <f>((E5*D5)/(F12)*$L$15)</f>
        <v>24.314363367870669</v>
      </c>
      <c r="H5" s="70">
        <f>J5+$O$15</f>
        <v>24.314363367870669</v>
      </c>
      <c r="I5" s="70">
        <f>G5</f>
        <v>24.314363367870669</v>
      </c>
      <c r="J5" s="429">
        <f>I5-$O$15</f>
        <v>24.314363367870669</v>
      </c>
      <c r="K5" s="430">
        <f>_xlfn.IFS((C5&lt;='Frame Capacities'!$BO$14),(C5*'Frame Capacities'!$BH$4*'Frame Capacities'!$BI$14),(AND((C5&gt;'Frame Capacities'!$BO$14),(C5&lt;='Frame Capacities'!$BP$14))),((C5-'Frame Capacities'!$BO$14)*'Frame Capacities'!$BH$4*('Frame Capacities'!$BJ$14)+'Frame Capacities'!$BC$14),(AND((C5&gt;'Frame Capacities'!$BP$14),(C5&lt;='Frame Capacities'!$BQ$14))),((C5-'Frame Capacities'!$BP$14)*'Frame Capacities'!$BH$4*('Frame Capacities'!$BK$14)+'Frame Capacities'!$BD$14),(AND((C5&gt;'Frame Capacities'!$BQ$14),(C5&lt;='Frame Capacities'!$BR$14))),((C5-'Frame Capacities'!$BQ$14)*'Frame Capacities'!$BH$4*('Frame Capacities'!$BL$14)+'Frame Capacities'!$BE$14))</f>
        <v>2.422400458240797</v>
      </c>
      <c r="L5" s="431">
        <f>_xlfn.IFS((C5&lt;='Infill Capacities'!$CW$14),(C5*'Infill Capacities'!$CR$14*'Infill Capacities'!$CQ$4),(AND((C5&gt;'Infill Capacities'!$CW$14),(C5&lt;='Infill Capacities'!$CX$14))),((C5-'Infill Capacities'!$CW$14)*'Infill Capacities'!$CQ$4*('Infill Capacities'!$CS$14)+'Infill Capacities'!$CM$14),(AND((C5&gt;'Infill Capacities'!$CX$14),(C5&lt;='Infill Capacities'!$CY$14))),((C5-'Infill Capacities'!$CX$14)*'Infill Capacities'!$CQ$4*('Infill Capacities'!$CT$14)+'Infill Capacities'!$CN$14),(AND((C5&gt;'Infill Capacities'!$CY$14),(C5&lt;='Infill Capacities'!$CZ$14))),((C5-'Infill Capacities'!$CY$14)*'Infill Capacities'!$CQ$4*('Infill Capacities'!$CU$14)+'Infill Capacities'!$CP$14))</f>
        <v>21.89199481469138</v>
      </c>
      <c r="M5" s="71">
        <f t="shared" ref="M5:M10" si="1">K5/C16</f>
        <v>2.723838596222785E-2</v>
      </c>
      <c r="N5" s="432">
        <f t="shared" ref="N5:N10" si="2">L5/D16</f>
        <v>0.10112710095478279</v>
      </c>
      <c r="O5" s="433">
        <f>K5+L5</f>
        <v>24.314395272932178</v>
      </c>
      <c r="P5" s="561">
        <f>J5-O5</f>
        <v>-3.1905061508297194E-5</v>
      </c>
      <c r="Q5" s="40"/>
      <c r="R5" s="71">
        <f>_xlfn.IFS(('System Capacities'!$N$19+'System Capacities'!$N$32=2),(ABS(I5/$G$16)),('System Capacities'!$N$19+'System Capacities'!$N$32=3),((ABS(I5-'System Capacities'!$D$47)/ABS($G$16))+('System Capacities'!$E$47*'System Capacities'!$D$6)),('System Capacities'!$N$19+'System Capacities'!$N$32=4),((ABS(ABS(I5-P5)-'System Capacities'!$D$48)/ABS($G$16))+('System Capacities'!$E$48*'System Capacities'!$D$6)),('System Capacities'!$N$19+'System Capacities'!$N$32=5),((ABS(ABS(I5-P5)-'System Capacities'!$D$49)/ABS($G$16))+('System Capacities'!$E$49*'System Capacities'!$D$6)),('System Capacities'!$N$19+'System Capacities'!$N$32=6),((ABS(ABS(I5-P5)-'System Capacities'!$D$50)/ABS($G$16))+('System Capacities'!$E$50*'System Capacities'!$D$6)),('System Capacities'!$N$19+'System Capacities'!$N$32=7),((ABS(ABS(I5-P5)-'System Capacities'!$D$51)/ABS($G$16))+('System Capacities'!$E$51*'System Capacities'!$D$6)),('System Capacities'!$N$19+'System Capacities'!$N$32=8),((ABS(ABS(I5-P5)-'System Capacities'!$D$52)/ABS($G$16))+('System Capacities'!$E$52*'System Capacities'!$D$6)),('System Capacities'!$N$19+'System Capacities'!$N$32=9),((ABS(ABS(I5-P5)-'System Capacities'!$D$53)/ABS($G$16))+('System Capacities'!$E$53*'System Capacities'!$D$6)),('System Capacities'!$N$19+'System Capacities'!$N$32=8),((ABS(ABS(I5-P5)-'System Capacities'!$D$54)/ABS($G$16))+('System Capacities'!$E$54*'System Capacities'!$D$6)))</f>
        <v>6.7920851746871278E-4</v>
      </c>
      <c r="S5" s="434">
        <f>S6+R5</f>
        <v>8.8706736390159642E-3</v>
      </c>
      <c r="T5" s="40"/>
      <c r="U5" s="68">
        <v>6</v>
      </c>
      <c r="V5" s="70">
        <f t="shared" ref="V5:V11" si="3">B5</f>
        <v>17.75</v>
      </c>
      <c r="W5" s="71">
        <f t="shared" ref="W5:W10" si="4">R5/(V5-V6)</f>
        <v>2.2640283915623759E-4</v>
      </c>
      <c r="X5" s="428">
        <f>S5</f>
        <v>8.8706736390159642E-3</v>
      </c>
      <c r="Y5" s="70">
        <f>'Structural Information'!$Z$6</f>
        <v>37.8446</v>
      </c>
      <c r="Z5" s="71">
        <f t="shared" ref="Z5:Z10" si="5">Y5*X5</f>
        <v>0.33570709559910356</v>
      </c>
      <c r="AA5" s="70">
        <f>((Y5*X5)/(Z12)*$L$15)</f>
        <v>24.314359362616251</v>
      </c>
      <c r="AB5" s="70">
        <f>AD5+$O$15</f>
        <v>24.314359362616251</v>
      </c>
      <c r="AC5" s="70">
        <f>AA5</f>
        <v>24.314359362616251</v>
      </c>
      <c r="AD5" s="429">
        <f>AC5-$O$12</f>
        <v>24.314359362616251</v>
      </c>
      <c r="AE5" s="430">
        <f>_xlfn.IFS((W5&lt;='Frame Capacities'!$BO$14),(W5*'Frame Capacities'!$BH$4*'Frame Capacities'!$BI$14),(AND((W5&gt;'Frame Capacities'!$BO$14),(W5&lt;='Frame Capacities'!$BP$14))),((W5-'Frame Capacities'!$BO$14)*'Frame Capacities'!$BH$4*('Frame Capacities'!$BJ$14)+'Frame Capacities'!$BC$14),(AND((W5&gt;'Frame Capacities'!$BP$14),(W5&lt;='Frame Capacities'!$BQ$14))),((W5-'Frame Capacities'!$BP$14)*'Frame Capacities'!$BH$4*('Frame Capacities'!$BK$14)+'Frame Capacities'!$BD$14),(AND((W5&gt;'Frame Capacities'!$BQ$14),(W5&lt;='Frame Capacities'!$BR$14))),((W5-'Frame Capacities'!$BQ$14)*'Frame Capacities'!$BH$4*('Frame Capacities'!$BL$14)+'Frame Capacities'!$BE$14))</f>
        <v>2.4223972795956055</v>
      </c>
      <c r="AF5" s="431">
        <f>_xlfn.IFS((W5&lt;='Infill Capacities'!$CW$14),(W5*'Infill Capacities'!$CR$14*'Infill Capacities'!$CQ$4),(AND((W5&gt;'Infill Capacities'!$CW$14),(W5&lt;='Infill Capacities'!$CX$14))),((W5-'Infill Capacities'!$CW$14)*'Infill Capacities'!$CQ$4*('Infill Capacities'!$CS$14)+'Infill Capacities'!$CM$14),(AND((W5&gt;'Infill Capacities'!$CX$14),(W5&lt;='Infill Capacities'!$CY$14))),((W5-'Infill Capacities'!$CX$14)*'Infill Capacities'!$CQ$4*('Infill Capacities'!$CT$14)+'Infill Capacities'!$CN$14),(AND((W5&gt;'Infill Capacities'!$CY$14),(W5&lt;='Infill Capacities'!$CZ$14))),((W5-'Infill Capacities'!$CY$14)*'Infill Capacities'!$CQ$4*('Infill Capacities'!$CU$14)+'Infill Capacities'!$CP$14))</f>
        <v>21.891966088275062</v>
      </c>
      <c r="AG5" s="71">
        <f>AE5/$C$16</f>
        <v>2.723835022034039E-2</v>
      </c>
      <c r="AH5" s="435">
        <f>AF5/$D$16</f>
        <v>0.10112696825699861</v>
      </c>
      <c r="AI5" s="433">
        <f t="shared" ref="AI5:AI10" si="6">AE5+AF5</f>
        <v>24.314363367870669</v>
      </c>
      <c r="AJ5" s="561">
        <f>AD5-AI5</f>
        <v>-4.00525441790478E-6</v>
      </c>
      <c r="AK5" s="436">
        <f t="shared" ref="AK5:AK10" si="7">(AC5-(AI5))/AC5</f>
        <v>-1.6472794360615268E-7</v>
      </c>
      <c r="AL5" s="40"/>
    </row>
    <row r="6" spans="1:38" x14ac:dyDescent="0.25">
      <c r="A6" s="314">
        <v>5</v>
      </c>
      <c r="B6" s="70">
        <f>B7+'Structural Information'!U7</f>
        <v>14.75</v>
      </c>
      <c r="C6" s="71">
        <f t="shared" ref="C6:C10" si="8">(D6-D7)/(B6-B7)</f>
        <v>3.9106337318805851E-4</v>
      </c>
      <c r="D6" s="428">
        <f t="shared" ref="D6:D11" si="9">_xlfn.IFS(($C$25=1),($C$31*B6),($C$25=2),($C$31*(B6-B7)*((4*$B$5-B6)/(4*$B$5-$B$10))),($C$25=3),(C37))</f>
        <v>8.1914683464907705E-3</v>
      </c>
      <c r="E6" s="70">
        <f>'Structural Information'!$Z$7</f>
        <v>40.367000000000004</v>
      </c>
      <c r="F6" s="71">
        <f t="shared" si="0"/>
        <v>0.33066500274279298</v>
      </c>
      <c r="G6" s="70">
        <f>((E6*D6)/(F12)*$L$15)</f>
        <v>23.949167010245965</v>
      </c>
      <c r="H6" s="70">
        <f>J6-J5+$O$16</f>
        <v>23.949198915307477</v>
      </c>
      <c r="I6" s="70">
        <f>I5+G6</f>
        <v>48.263530378116634</v>
      </c>
      <c r="J6" s="429">
        <f>I6-P5-$O$16</f>
        <v>48.263562283178146</v>
      </c>
      <c r="K6" s="430">
        <f>_xlfn.IFS((C6&lt;='Frame Capacities'!$BO$15),(C6*'Frame Capacities'!$BH$5*'Frame Capacities'!$BI$15),(AND((C6&gt;'Frame Capacities'!$BO$15),(C6&lt;='Frame Capacities'!$BP$15))),((C6-'Frame Capacities'!$BO$15)*'Frame Capacities'!$BH$5*('Frame Capacities'!$BJ$15)+'Frame Capacities'!$BC$15),(AND((C6&gt;'Frame Capacities'!$BP$15),(C6&lt;='Frame Capacities'!$BQ$15))),((C6-'Frame Capacities'!$BP$15)*'Frame Capacities'!$BH$5*('Frame Capacities'!$BK$15)+'Frame Capacities'!$BD$15),(AND((C6&gt;'Frame Capacities'!$BQ$15),(C6&lt;='Frame Capacities'!$BR$15))),((C6-'Frame Capacities'!$BQ$15)*'Frame Capacities'!$BH$5*('Frame Capacities'!$BL$15)+'Frame Capacities'!$BE$15))</f>
        <v>4.2538776528333431</v>
      </c>
      <c r="L6" s="431">
        <f>_xlfn.IFS((C6&lt;='Infill Capacities'!$CW$15),(C6*'Infill Capacities'!$CR$15*'Infill Capacities'!$CQ$5),(AND((C6&gt;'Infill Capacities'!$CW$15),(C6&lt;='Infill Capacities'!$CX$15))),((C6-'Infill Capacities'!$CW$15)*'Infill Capacities'!$CQ$5*('Infill Capacities'!$CS$15)+'Infill Capacities'!$CM$15),(AND((C6&gt;'Infill Capacities'!$CX$15),(C6&lt;='Infill Capacities'!$CY$15))),((C6-'Infill Capacities'!$CX$15)*'Infill Capacities'!$CQ$5*('Infill Capacities'!$CT$15)+'Infill Capacities'!$CN$15),(AND((C6&gt;'Infill Capacities'!$CY$15),(C6&lt;='Infill Capacities'!$CZ$15))),((C6-'Infill Capacities'!$CY$15)*'Infill Capacities'!$CQ$5*('Infill Capacities'!$CU$15)+'Infill Capacities'!$CP$15))</f>
        <v>44.009702592303725</v>
      </c>
      <c r="M6" s="71">
        <f t="shared" si="1"/>
        <v>4.0745954529055016E-2</v>
      </c>
      <c r="N6" s="432">
        <f t="shared" si="2"/>
        <v>0.20329685232956266</v>
      </c>
      <c r="O6" s="433">
        <f t="shared" ref="O6:O10" si="10">K6+L6</f>
        <v>48.263580245137071</v>
      </c>
      <c r="P6" s="561">
        <f>J6-O6</f>
        <v>-1.7961958924672672E-5</v>
      </c>
      <c r="Q6" s="40"/>
      <c r="R6" s="71">
        <f>_xlfn.IFS(('System Capacities'!$N$20+'System Capacities'!$N$33=2),(ABS(I6/$G$17)),('System Capacities'!$N$20+'System Capacities'!$N$33=3),((ABS(I6-'System Capacities'!$H$47)/ABS($G$17))+('System Capacities'!$I$47*'System Capacities'!$D$7)),('System Capacities'!$N$20+'System Capacities'!$N$33=4),((ABS(ABS(I6-P6)-'System Capacities'!$H$48)/ABS($G$17))+('System Capacities'!$I$48*'System Capacities'!$D$7)),('System Capacities'!$N$20+'System Capacities'!$N$33=5),((ABS(ABS(I6-P6)-'System Capacities'!H$49)/ABS($G$17))+('System Capacities'!$I$49*'System Capacities'!$D$7)),('System Capacities'!$N$20+'System Capacities'!$N$33=6),((ABS(ABS(I6-P6)-'System Capacities'!$H$50)/ABS($G$17))+('System Capacities'!$I$50*'System Capacities'!$D$7)),('System Capacities'!$N$20+'System Capacities'!$N$33=7),((ABS(ABS(I6-P6)-'System Capacities'!$H$51)/ABS($G$17))+('System Capacities'!$I$51*'System Capacities'!$D$7)),('System Capacities'!N20+'System Capacities'!$N$33=8),((ABS(ABS(I6-P6)-'System Capacities'!$H$52)/ABS($G$17))+('System Capacities'!$I$52*'System Capacities'!$D$7)),('System Capacities'!N20+'System Capacities'!$N$33=9),((ABS(ABS(I6-P6)-'System Capacities'!$H$53)/ABS($G$17))+('System Capacities'!$I$53*'System Capacities'!$D$7)),('System Capacities'!N20+'System Capacities'!$N$33=10),((ABS(ABS(I6-P6)-'System Capacities'!$H$54)/ABS($G$17))+('System Capacities'!$I$54*'System Capacities'!$D$7)))</f>
        <v>1.173188907397665E-3</v>
      </c>
      <c r="S6" s="434">
        <f t="shared" ref="S6:S10" si="11">S7+R6</f>
        <v>8.1914651215472516E-3</v>
      </c>
      <c r="T6" s="40"/>
      <c r="U6" s="68">
        <v>5</v>
      </c>
      <c r="V6" s="70">
        <f t="shared" si="3"/>
        <v>14.75</v>
      </c>
      <c r="W6" s="71">
        <f t="shared" si="4"/>
        <v>3.9106296913255499E-4</v>
      </c>
      <c r="X6" s="428">
        <f t="shared" ref="X6:X11" si="12">S6</f>
        <v>8.1914651215472516E-3</v>
      </c>
      <c r="Y6" s="70">
        <f>'Structural Information'!$Z$7</f>
        <v>40.367000000000004</v>
      </c>
      <c r="Z6" s="71">
        <f t="shared" si="5"/>
        <v>0.33066487256149796</v>
      </c>
      <c r="AA6" s="70">
        <f>((Y6*X6)/(Z12)*$L$15)</f>
        <v>23.949164749425204</v>
      </c>
      <c r="AB6" s="70">
        <f>AD6-AD5+$O$16</f>
        <v>23.949168754679619</v>
      </c>
      <c r="AC6" s="70">
        <f>AC5+AA6</f>
        <v>48.263524112041452</v>
      </c>
      <c r="AD6" s="429">
        <f>AC6-AJ5-$O$13</f>
        <v>48.26352811729587</v>
      </c>
      <c r="AE6" s="430">
        <f>_xlfn.IFS((W6&lt;='Frame Capacities'!$BO$15),(W6*'Frame Capacities'!$BH$5*'Frame Capacities'!$BI$15),(AND((W6&gt;'Frame Capacities'!$BO$15),(W6&lt;='Frame Capacities'!$BP$15))),((W6-'Frame Capacities'!$BO$15)*'Frame Capacities'!$BH$5*('Frame Capacities'!$BJ$15)+'Frame Capacities'!$BC$15),(AND((W6&gt;'Frame Capacities'!$BP$15),(W6&lt;='Frame Capacities'!$BQ$15))),((W6-'Frame Capacities'!$BP$15)*'Frame Capacities'!$BH$5*('Frame Capacities'!$BK$15)+'Frame Capacities'!$BD$15),(AND((W6&gt;'Frame Capacities'!$BQ$15),(W6&lt;='Frame Capacities'!$BR$15))),((W6-'Frame Capacities'!$BQ$15)*'Frame Capacities'!$BH$5*('Frame Capacities'!$BL$15)+'Frame Capacities'!$BE$15))</f>
        <v>4.2538732576309419</v>
      </c>
      <c r="AF6" s="431">
        <f>_xlfn.IFS((W6&lt;='Infill Capacities'!$CW$15),(W6*'Infill Capacities'!$CR$15*'Infill Capacities'!$CQ$5),(AND((W6&gt;'Infill Capacities'!$CW$15),(W6&lt;='Infill Capacities'!$CX$15))),((W6-'Infill Capacities'!$CW$15)*'Infill Capacities'!$CQ$5*('Infill Capacities'!$CS$15)+'Infill Capacities'!$CM$15),(AND((W6&gt;'Infill Capacities'!$CX$15),(W6&lt;='Infill Capacities'!$CY$15))),((W6-'Infill Capacities'!$CX$15)*'Infill Capacities'!$CQ$5*('Infill Capacities'!$CT$15)+'Infill Capacities'!$CN$15),(AND((W6&gt;'Infill Capacities'!$CY$15),(W6&lt;='Infill Capacities'!$CZ$15))),((W6-'Infill Capacities'!$CY$15)*'Infill Capacities'!$CQ$5*('Infill Capacities'!$CU$15)+'Infill Capacities'!$CP$15))</f>
        <v>44.009657120485699</v>
      </c>
      <c r="AG6" s="71">
        <f>AE6/$C$17</f>
        <v>4.0745912429415158E-2</v>
      </c>
      <c r="AH6" s="435">
        <f>AF6/$D$17</f>
        <v>0.20329664227866637</v>
      </c>
      <c r="AI6" s="433">
        <f t="shared" si="6"/>
        <v>48.263530378116641</v>
      </c>
      <c r="AJ6" s="561">
        <f>AD6-AI6</f>
        <v>-2.2608207714824857E-6</v>
      </c>
      <c r="AK6" s="436">
        <f t="shared" si="7"/>
        <v>-1.2983045280408604E-7</v>
      </c>
      <c r="AL6" s="40"/>
    </row>
    <row r="7" spans="1:38" x14ac:dyDescent="0.25">
      <c r="A7" s="314">
        <v>4</v>
      </c>
      <c r="B7" s="70">
        <f>B8+'Structural Information'!U8</f>
        <v>11.75</v>
      </c>
      <c r="C7" s="71">
        <f t="shared" si="8"/>
        <v>5.3091162699174467E-4</v>
      </c>
      <c r="D7" s="428">
        <f t="shared" si="9"/>
        <v>7.0182782269265949E-3</v>
      </c>
      <c r="E7" s="70">
        <f>'Structural Information'!$Z$8</f>
        <v>40.367000000000004</v>
      </c>
      <c r="F7" s="71">
        <f t="shared" si="0"/>
        <v>0.28330683718634586</v>
      </c>
      <c r="G7" s="70">
        <f>((E7*D7)/(F12)*$L$15)</f>
        <v>20.519143854476873</v>
      </c>
      <c r="H7" s="70">
        <f>J7-J6+$O$17</f>
        <v>20.519129911374279</v>
      </c>
      <c r="I7" s="70">
        <f t="shared" ref="I7:I10" si="13">I6+G7</f>
        <v>68.782674232593507</v>
      </c>
      <c r="J7" s="429">
        <f>I7-P6-$O$17</f>
        <v>68.782692194552425</v>
      </c>
      <c r="K7" s="430">
        <f>_xlfn.IFS((C7&lt;='Frame Capacities'!$BO$16),(C7*'Frame Capacities'!$BH$6*'Frame Capacities'!$BI$16),(AND((C7&gt;'Frame Capacities'!$BO$16),(C7&lt;='Frame Capacities'!$BP$16))),((C7-'Frame Capacities'!$BO$16)*'Frame Capacities'!$BH$6*('Frame Capacities'!$BJ$16)+'Frame Capacities'!$BC$16),(AND((C7&gt;'Frame Capacities'!$BP$16),(C7&lt;='Frame Capacities'!$BQ$16))),((C7-'Frame Capacities'!$BP$16)*'Frame Capacities'!$BH$6*('Frame Capacities'!$BK$16)+'Frame Capacities'!$BD$16),(AND((C7&gt;'Frame Capacities'!$BQ$16),(C7&lt;='Frame Capacities'!$BR$16))),((C7-'Frame Capacities'!$BQ$16)*'Frame Capacities'!$BH$6*('Frame Capacities'!$BL$16)+'Frame Capacities'!$BE$16))</f>
        <v>6.7329340472802155</v>
      </c>
      <c r="L7" s="431">
        <f>_xlfn.IFS((C7&lt;='Infill Capacities'!$CW$16),(C7*'Infill Capacities'!$CR$16*'Infill Capacities'!$CQ$6),(AND((C7&gt;'Infill Capacities'!$CW$16),(C7&lt;='Infill Capacities'!$CX$16))),((C7-'Infill Capacities'!$CW$16)*'Infill Capacities'!$CQ$6*('Infill Capacities'!$CS$16)+'Infill Capacities'!$CM$16),(AND((C7&gt;'Infill Capacities'!$CX$16),(C7&lt;='Infill Capacities'!$CY$16))),((C7-'Infill Capacities'!$CX$16)*'Infill Capacities'!$CQ$6*('Infill Capacities'!$CT$16)+'Infill Capacities'!$CN$16),(AND((C7&gt;'Infill Capacities'!$CY$16),(C7&lt;='Infill Capacities'!$CZ$16))),((C7-'Infill Capacities'!$CY$16)*'Infill Capacities'!$CQ$6*('Infill Capacities'!$CU$16)+'Infill Capacities'!$CP$16))</f>
        <v>62.049787938269503</v>
      </c>
      <c r="M7" s="71">
        <f t="shared" si="1"/>
        <v>5.8888635982042706E-2</v>
      </c>
      <c r="N7" s="432">
        <f t="shared" si="2"/>
        <v>0.28663057990700985</v>
      </c>
      <c r="O7" s="433">
        <f t="shared" si="10"/>
        <v>68.782721985549713</v>
      </c>
      <c r="P7" s="561">
        <f t="shared" ref="P7:P10" si="14">J7-O7</f>
        <v>-2.9790997288614562E-5</v>
      </c>
      <c r="Q7" s="40"/>
      <c r="R7" s="71">
        <f>_xlfn.IFS(('System Capacities'!$N$21+'System Capacities'!$N$34=2),(ABS(I7/$G$18)),('System Capacities'!$N$21+'System Capacities'!$N$34=3),((ABS(I7-'System Capacities'!$L$47)/ABS($G$18))+('System Capacities'!$M$47*'System Capacities'!$D$8)),('System Capacities'!$N$21+'System Capacities'!$N$34=4),((ABS(ABS(I7-P7)-'System Capacities'!$L$48)/ABS($G$18))+('System Capacities'!$M$48*'System Capacities'!$D$8)),('System Capacities'!$N$21+'System Capacities'!$N$34=5),((ABS(ABS(I7-P7)-'System Capacities'!$L$49)/ABS($G$18))+('System Capacities'!$M$49*'System Capacities'!$D$8)),('System Capacities'!$N$21+'System Capacities'!$N$34=6),((ABS(ABS(I7-P7)-'System Capacities'!$L$50)/ABS($G$18))+('System Capacities'!$M$50*'System Capacities'!$D$8)),('System Capacities'!$N$21+'System Capacities'!$N$34=7),((ABS(ABS(I7-P7)-'System Capacities'!$L$51)/ABS($G$18))+('System Capacities'!$M$51*'System Capacities'!$D$8)),('System Capacities'!$N$21+'System Capacities'!$N$34=8),((ABS(ABS(I7-P7)-'System Capacities'!$L$52)/ABS($G$18))+('System Capacities'!$M$52*'System Capacities'!$D$8)),('System Capacities'!$N$21+'System Capacities'!$N$34=9),((ABS(ABS(I7-P7)-'System Capacities'!$L$53)/ABS($G$18))+('System Capacities'!$M$53*'System Capacities'!$D$8)),('System Capacities'!$N$21+'System Capacities'!$N$34=10),((ABS(ABS(I7-P7)-'System Capacities'!$L$54)/ABS($G$18))+('System Capacities'!$M$54*'System Capacities'!$D$8)))</f>
        <v>1.5927337752062731E-3</v>
      </c>
      <c r="S7" s="434">
        <f t="shared" si="11"/>
        <v>7.0182762141495873E-3</v>
      </c>
      <c r="T7" s="40"/>
      <c r="U7" s="68">
        <v>4</v>
      </c>
      <c r="V7" s="70">
        <f t="shared" si="3"/>
        <v>11.75</v>
      </c>
      <c r="W7" s="71">
        <f t="shared" si="4"/>
        <v>5.3091125840209108E-4</v>
      </c>
      <c r="X7" s="428">
        <f t="shared" si="12"/>
        <v>7.0182762141495873E-3</v>
      </c>
      <c r="Y7" s="70">
        <f>'Structural Information'!$Z$8</f>
        <v>40.367000000000004</v>
      </c>
      <c r="Z7" s="71">
        <f t="shared" si="5"/>
        <v>0.28330675593657645</v>
      </c>
      <c r="AA7" s="70">
        <f>((Y7*X7)/(Z12)*$L$15)</f>
        <v>20.519144111046693</v>
      </c>
      <c r="AB7" s="70">
        <f>AD7-AD6+$O$17</f>
        <v>20.519142366613032</v>
      </c>
      <c r="AC7" s="70">
        <f t="shared" ref="AC7:AC10" si="15">AC6+AA7</f>
        <v>68.782668223088137</v>
      </c>
      <c r="AD7" s="429">
        <f t="shared" ref="AD7:AD10" si="16">AC7-AJ6-$O$13</f>
        <v>68.782670483908902</v>
      </c>
      <c r="AE7" s="430">
        <f>_xlfn.IFS((W7&lt;='Frame Capacities'!$BO$16),(W7*'Frame Capacities'!$BH$6*'Frame Capacities'!$BI$16),(AND((W7&gt;'Frame Capacities'!$BO$16),(W7&lt;='Frame Capacities'!$BP$16))),((W7-'Frame Capacities'!$BO$16)*'Frame Capacities'!$BH$6*('Frame Capacities'!$BJ$16)+'Frame Capacities'!$BC$16),(AND((W7&gt;'Frame Capacities'!$BP$16),(W7&lt;='Frame Capacities'!$BQ$16))),((W7-'Frame Capacities'!$BP$16)*'Frame Capacities'!$BH$6*('Frame Capacities'!$BK$16)+'Frame Capacities'!$BD$16),(AND((W7&gt;'Frame Capacities'!$BQ$16),(W7&lt;='Frame Capacities'!$BR$16))),((W7-'Frame Capacities'!$BQ$16)*'Frame Capacities'!$BH$6*('Frame Capacities'!$BL$16)+'Frame Capacities'!$BE$16))</f>
        <v>6.7329293728867725</v>
      </c>
      <c r="AF7" s="431">
        <f>_xlfn.IFS((W7&lt;='Infill Capacities'!$CW$16),(W7*'Infill Capacities'!$CR$16*'Infill Capacities'!$CQ$6),(AND((W7&gt;'Infill Capacities'!$CW$16),(W7&lt;='Infill Capacities'!$CX$16))),((W7-'Infill Capacities'!$CW$16)*'Infill Capacities'!$CQ$6*('Infill Capacities'!$CS$16)+'Infill Capacities'!$CM$16),(AND((W7&gt;'Infill Capacities'!$CX$16),(W7&lt;='Infill Capacities'!$CY$16))),((W7-'Infill Capacities'!$CX$16)*'Infill Capacities'!$CQ$6*('Infill Capacities'!$CT$16)+'Infill Capacities'!$CN$16),(AND((W7&gt;'Infill Capacities'!$CY$16),(W7&lt;='Infill Capacities'!$CZ$16))),((W7-'Infill Capacities'!$CY$16)*'Infill Capacities'!$CQ$6*('Infill Capacities'!$CU$16)+'Infill Capacities'!$CP$16))</f>
        <v>62.049744859706749</v>
      </c>
      <c r="AG7" s="71">
        <f>AE7/$C$18</f>
        <v>5.8888595098135037E-2</v>
      </c>
      <c r="AH7" s="435">
        <f>AF7/$D$18</f>
        <v>0.28663038091143173</v>
      </c>
      <c r="AI7" s="433">
        <f t="shared" si="6"/>
        <v>68.782674232593521</v>
      </c>
      <c r="AJ7" s="561">
        <f t="shared" ref="AJ7:AJ10" si="17">AD7-AI7</f>
        <v>-3.7486846196088663E-6</v>
      </c>
      <c r="AK7" s="436">
        <f t="shared" si="7"/>
        <v>-8.7369471688635742E-8</v>
      </c>
      <c r="AL7" s="40"/>
    </row>
    <row r="8" spans="1:38" x14ac:dyDescent="0.25">
      <c r="A8" s="314">
        <v>3</v>
      </c>
      <c r="B8" s="70">
        <f>B9+'Structural Information'!U9</f>
        <v>8.75</v>
      </c>
      <c r="C8" s="71">
        <f t="shared" si="8"/>
        <v>6.1243585195415505E-4</v>
      </c>
      <c r="D8" s="428">
        <f t="shared" si="9"/>
        <v>5.425543345951361E-3</v>
      </c>
      <c r="E8" s="70">
        <f>'Structural Information'!$Z$9</f>
        <v>40.367000000000004</v>
      </c>
      <c r="F8" s="71">
        <f t="shared" si="0"/>
        <v>0.2190129082460186</v>
      </c>
      <c r="G8" s="70">
        <f>((E8*D8)/(F12)*$L$15)</f>
        <v>15.862509408240955</v>
      </c>
      <c r="H8" s="70">
        <f>J8-J7+$O$18</f>
        <v>15.862521237279324</v>
      </c>
      <c r="I8" s="70">
        <f t="shared" si="13"/>
        <v>84.64518364083446</v>
      </c>
      <c r="J8" s="429">
        <f>I8-P7-$O$18</f>
        <v>84.645213431831749</v>
      </c>
      <c r="K8" s="430">
        <f>_xlfn.IFS((C8&lt;='Frame Capacities'!$BO$17),(C8*'Frame Capacities'!$BH$7*'Frame Capacities'!$BI$17),(AND((C8&gt;'Frame Capacities'!$BO$17),(C8&lt;='Frame Capacities'!$BP$17))),((C8-'Frame Capacities'!$BO$17)*'Frame Capacities'!$BH$7*('Frame Capacities'!$BJ$17)+'Frame Capacities'!$BC$17),(AND((C8&gt;'Frame Capacities'!$BP$17),(C8&lt;='Frame Capacities'!$BQ$17))),((C8-'Frame Capacities'!$BP$17)*'Frame Capacities'!$BH$7*('Frame Capacities'!$BK$17)+'Frame Capacities'!$BD$17),(AND((C8&gt;'Frame Capacities'!$BQ$17),(C8&lt;='Frame Capacities'!$BR$17))),((C8-'Frame Capacities'!$BQ$17)*'Frame Capacities'!$BH$7*('Frame Capacities'!$BL$17)+'Frame Capacities'!$BE$17))</f>
        <v>11.003890521559713</v>
      </c>
      <c r="L8" s="431">
        <f>_xlfn.IFS((C8&lt;='Infill Capacities'!$CW$17),(C8*'Infill Capacities'!$CR$17*'Infill Capacities'!$CQ$7),(AND((C8&gt;'Infill Capacities'!$CW$17),(C8&lt;='Infill Capacities'!$CX$17))),((C8-'Infill Capacities'!$CW$17)*'Infill Capacities'!$CQ$7*('Infill Capacities'!$CS$17)+'Infill Capacities'!$CM$17),(AND((C8&gt;'Infill Capacities'!$CX$17),(C8&lt;='Infill Capacities'!$CY$17))),((C8-'Infill Capacities'!$CX$17)*'Infill Capacities'!$CQ$7*('Infill Capacities'!$CT$17)+'Infill Capacities'!$CN$17),(AND((C8&gt;'Infill Capacities'!$CY$17),(C8&lt;='Infill Capacities'!$CZ$17))),((C8-'Infill Capacities'!$CY$17)*'Infill Capacities'!$CQ$7*('Infill Capacities'!$CU$17)+'Infill Capacities'!$CP$17))</f>
        <v>73.641324160516646</v>
      </c>
      <c r="M8" s="71">
        <f t="shared" si="1"/>
        <v>7.1361157727365204E-2</v>
      </c>
      <c r="N8" s="432">
        <f t="shared" si="2"/>
        <v>0.34184363933691991</v>
      </c>
      <c r="O8" s="433">
        <f t="shared" si="10"/>
        <v>84.645214682076357</v>
      </c>
      <c r="P8" s="561">
        <f t="shared" si="14"/>
        <v>-1.2502446082862662E-6</v>
      </c>
      <c r="Q8" s="40"/>
      <c r="R8" s="71">
        <f>_xlfn.IFS(('System Capacities'!$N$22+'System Capacities'!$N$35=2),(ABS(I8/$G$19)),('System Capacities'!$N$22+'System Capacities'!$N$35=3),((ABS(I8-'System Capacities'!$D$60)/ABS($G$19))+('System Capacities'!$E$60*'System Capacities'!$D$9)),('System Capacities'!$N$22+'System Capacities'!$N$35=4),((ABS(ABS(I8-P8)-'System Capacities'!$D$61)/ABS($G$19))+('System Capacities'!$E$61*'System Capacities'!$D$9)),('System Capacities'!$N$22+'System Capacities'!$N$35=5),((ABS(ABS(I8-P8)-'System Capacities'!$D$62)/ABS($G$19))+('System Capacities'!$E$62*'System Capacities'!$D$9)),('System Capacities'!$N$22+'System Capacities'!$N$35=6),((ABS(ABS(I8-P8)-'System Capacities'!$D$63)/ABS($G$19))+('System Capacities'!$E$63*'System Capacities'!$D$9)),('System Capacities'!$N$22+'System Capacities'!$N$35=7),((ABS(ABS(I8-P8)-'System Capacities'!$D$64)/ABS($G$19))+('System Capacities'!$E$64*'System Capacities'!$D$9)),('System Capacities'!$N$22+'System Capacities'!$N$35=8),((ABS(ABS(I8-P8)-'System Capacities'!$D$65)/ABS($G$19))+('System Capacities'!$E$65*'System Capacities'!$D$9)),('System Capacities'!$N$22+'System Capacities'!$N$35=9),((ABS(ABS(I8-P8)-'System Capacities'!$D$66)/ABS($G$19))+('System Capacities'!$E$66*'System Capacities'!$D$9)),('System Capacities'!$N$22+'System Capacities'!$N$35=10),((ABS(ABS(I8-P8)-'System Capacities'!$D$67)/ABS($G$19))+('System Capacities'!$E$67*'System Capacities'!$D$9)))</f>
        <v>1.837306882081809E-3</v>
      </c>
      <c r="S8" s="434">
        <f t="shared" si="11"/>
        <v>5.4255424389433142E-3</v>
      </c>
      <c r="T8" s="40"/>
      <c r="U8" s="68">
        <v>3</v>
      </c>
      <c r="V8" s="70">
        <f t="shared" si="3"/>
        <v>8.75</v>
      </c>
      <c r="W8" s="71">
        <f t="shared" si="4"/>
        <v>6.1243562736060296E-4</v>
      </c>
      <c r="X8" s="428">
        <f t="shared" si="12"/>
        <v>5.4255424389433142E-3</v>
      </c>
      <c r="Y8" s="70">
        <f>'Structural Information'!$Z$9</f>
        <v>40.367000000000004</v>
      </c>
      <c r="Z8" s="71">
        <f t="shared" si="5"/>
        <v>0.21901287163282479</v>
      </c>
      <c r="AA8" s="70">
        <f>((Y8*X8)/(Z12)*$L$15)</f>
        <v>15.862511504011428</v>
      </c>
      <c r="AB8" s="70">
        <f>AD8-AD7+$O$18</f>
        <v>15.862512991875278</v>
      </c>
      <c r="AC8" s="70">
        <f t="shared" si="15"/>
        <v>84.64517972709956</v>
      </c>
      <c r="AD8" s="429">
        <f t="shared" si="16"/>
        <v>84.645183475784179</v>
      </c>
      <c r="AE8" s="430">
        <f>_xlfn.IFS((W8&lt;='Frame Capacities'!$BO$17),(W8*'Frame Capacities'!$BH$7*'Frame Capacities'!$BI$17),(AND((W8&gt;'Frame Capacities'!$BO$17),(W8&lt;='Frame Capacities'!$BP$17))),((W8-'Frame Capacities'!$BO$17)*'Frame Capacities'!$BH$7*('Frame Capacities'!$BJ$17)+'Frame Capacities'!$BC$17),(AND((W8&gt;'Frame Capacities'!$BP$17),(W8&lt;='Frame Capacities'!$BQ$17))),((W8-'Frame Capacities'!$BP$17)*'Frame Capacities'!$BH$7*('Frame Capacities'!$BK$17)+'Frame Capacities'!$BD$17),(AND((W8&gt;'Frame Capacities'!$BQ$17),(W8&lt;='Frame Capacities'!$BR$17))),((W8-'Frame Capacities'!$BQ$17)*'Frame Capacities'!$BH$7*('Frame Capacities'!$BL$17)+'Frame Capacities'!$BE$17))</f>
        <v>11.00388648619364</v>
      </c>
      <c r="AF8" s="431">
        <f>_xlfn.IFS((W8&lt;='Infill Capacities'!$CW$17),(W8*'Infill Capacities'!$CR$17*'Infill Capacities'!$CQ$7),(AND((W8&gt;'Infill Capacities'!$CW$17),(W8&lt;='Infill Capacities'!$CX$17))),((W8-'Infill Capacities'!$CW$17)*'Infill Capacities'!$CQ$7*('Infill Capacities'!$CS$17)+'Infill Capacities'!$CM$17),(AND((W8&gt;'Infill Capacities'!$CX$17),(W8&lt;='Infill Capacities'!$CY$17))),((W8-'Infill Capacities'!$CX$17)*'Infill Capacities'!$CQ$7*('Infill Capacities'!$CT$17)+'Infill Capacities'!$CN$17),(AND((W8&gt;'Infill Capacities'!$CY$17),(W8&lt;='Infill Capacities'!$CZ$17))),((W8-'Infill Capacities'!$CY$17)*'Infill Capacities'!$CQ$7*('Infill Capacities'!$CU$17)+'Infill Capacities'!$CP$17))</f>
        <v>73.641297154640824</v>
      </c>
      <c r="AG8" s="71">
        <f>AE8/$C$19</f>
        <v>7.1361131557676011E-2</v>
      </c>
      <c r="AH8" s="435">
        <f>AF8/$D$19</f>
        <v>0.34184351397541968</v>
      </c>
      <c r="AI8" s="433">
        <f t="shared" si="6"/>
        <v>84.64518364083446</v>
      </c>
      <c r="AJ8" s="561">
        <f t="shared" si="17"/>
        <v>-1.6505028099800256E-7</v>
      </c>
      <c r="AK8" s="436">
        <f t="shared" si="7"/>
        <v>-4.6236949501731257E-8</v>
      </c>
      <c r="AL8" s="40"/>
    </row>
    <row r="9" spans="1:38" x14ac:dyDescent="0.25">
      <c r="A9" s="314">
        <v>2</v>
      </c>
      <c r="B9" s="70">
        <f>B10+'Structural Information'!U10</f>
        <v>5.75</v>
      </c>
      <c r="C9" s="71">
        <f t="shared" si="8"/>
        <v>6.4152578147372752E-4</v>
      </c>
      <c r="D9" s="428">
        <f t="shared" si="9"/>
        <v>3.5882357900888957E-3</v>
      </c>
      <c r="E9" s="70">
        <f>'Structural Information'!$Z$10</f>
        <v>40.367000000000004</v>
      </c>
      <c r="F9" s="71">
        <f t="shared" si="0"/>
        <v>0.14484631413851848</v>
      </c>
      <c r="G9" s="70">
        <f>((E9*D9)/(F12)*$L$15)</f>
        <v>10.490824669522841</v>
      </c>
      <c r="H9" s="70">
        <f>J9-J8+$O$19</f>
        <v>10.490796128770157</v>
      </c>
      <c r="I9" s="70">
        <f t="shared" si="13"/>
        <v>95.136008310357298</v>
      </c>
      <c r="J9" s="429">
        <f>I9-P8-$O$19</f>
        <v>95.136009560601906</v>
      </c>
      <c r="K9" s="430">
        <f>_xlfn.IFS((C9&lt;='Frame Capacities'!$BO$18),(C9*'Frame Capacities'!$BH$8*'Frame Capacities'!$BI$18),(AND((C9&gt;'Frame Capacities'!$BO$18),(C9&lt;='Frame Capacities'!$BP$18))),((C9-'Frame Capacities'!$BO$18)*'Frame Capacities'!$BH$8*('Frame Capacities'!$BJ$18)+'Frame Capacities'!$BC$18),(AND((C9&gt;'Frame Capacities'!$BP$18),(C9&lt;='Frame Capacities'!$BQ$18))),((C9-'Frame Capacities'!$BP$18)*'Frame Capacities'!$BH$8*('Frame Capacities'!$BK$18)+'Frame Capacities'!$BD$18),(AND((C9&gt;'Frame Capacities'!$BQ$18),(C9&lt;='Frame Capacities'!$BR$18))),((C9-'Frame Capacities'!$BQ$18)*'Frame Capacities'!$BH$8*('Frame Capacities'!$BL$18)+'Frame Capacities'!$BE$18))</f>
        <v>15.448316896475626</v>
      </c>
      <c r="L9" s="431">
        <f>_xlfn.IFS((C9&lt;='Infill Capacities'!$CW$18),(C9*'Infill Capacities'!$CR$18*'Infill Capacities'!$CQ$8),(AND((C9&gt;'Infill Capacities'!$CW$18),(C9&lt;='Infill Capacities'!$CX$18))),((C9-'Infill Capacities'!$CW$18)*'Infill Capacities'!$CQ$8*('Infill Capacities'!$CS$18)+'Infill Capacities'!$CM$18),(AND((C9&gt;'Infill Capacities'!$CX$18),(C9&lt;='Infill Capacities'!$CY$18))),((C9-'Infill Capacities'!$CX$18)*'Infill Capacities'!$CQ$8*('Infill Capacities'!$CT$18)+'Infill Capacities'!$CN$18),(AND((C9&gt;'Infill Capacities'!$CY$18),(C9&lt;='Infill Capacities'!$CZ$18))),((C9-'Infill Capacities'!$CY$18)*'Infill Capacities'!$CQ$8*('Infill Capacities'!$CU$18)+'Infill Capacities'!$CP$18))</f>
        <v>79.687702942815932</v>
      </c>
      <c r="M9" s="71">
        <f t="shared" si="1"/>
        <v>9.5008098994315046E-2</v>
      </c>
      <c r="N9" s="432">
        <f t="shared" si="2"/>
        <v>0.36991097994102756</v>
      </c>
      <c r="O9" s="433">
        <f t="shared" si="10"/>
        <v>95.136019839291563</v>
      </c>
      <c r="P9" s="561">
        <f t="shared" si="14"/>
        <v>-1.0278689657639006E-5</v>
      </c>
      <c r="Q9" s="40"/>
      <c r="R9" s="71">
        <f>_xlfn.IFS(('System Capacities'!$N$23+'System Capacities'!$N$36=2),(ABS(I9/$G$20)),('System Capacities'!$N$23+'System Capacities'!$N$36=3),((ABS(I9-'System Capacities'!$H$60)/ABS($G$20))+('System Capacities'!$I$60*'System Capacities'!$D$10)),('System Capacities'!$N$23+'System Capacities'!$N$36=4),((ABS(ABS(I9-P9)-'System Capacities'!$H$61)/ABS($G$20))+('System Capacities'!$I$61*'System Capacities'!$D$10)),('System Capacities'!$N$23+'System Capacities'!$N$36=5),((ABS(ABS(I9-P9)-'System Capacities'!$H$62)/ABS($G$20))+('System Capacities'!$I$62*'System Capacities'!$D$10)),('System Capacities'!$N$23+'System Capacities'!$N$36=6),((ABS(ABS(I9-P9)-'System Capacities'!$H$63)/ABS($G$20))+('System Capacities'!$I$63*'System Capacities'!$D$10)),('System Capacities'!$N$23+'System Capacities'!$N$36=7),((ABS(ABS(I9-P9)-'System Capacities'!$H$64)/ABS($G$20))+('System Capacities'!$I$64*'System Capacities'!$D$10)),('System Capacities'!$N$23+'System Capacities'!$N$36=8),((ABS(ABS(I9-P9)-'System Capacities'!$H$65)/ABS($G$20))+('System Capacities'!$I$65*'System Capacities'!$D$10)),('System Capacities'!$N$23+'System Capacities'!$N$36=9),((ABS(ABS(I9-P9)-'System Capacities'!$H$66)/ABS($G$20))+('System Capacities'!$I$66*'System Capacities'!$D$10)),('System Capacities'!$N$23+'System Capacities'!$N$36=10),((ABS(ABS(I9-P9)-'System Capacities'!$H$67)/ABS($G$20))+('System Capacities'!$I$67*'System Capacities'!$D$10)))</f>
        <v>1.9245771111937918E-3</v>
      </c>
      <c r="S9" s="434">
        <f t="shared" si="11"/>
        <v>3.5882355568615052E-3</v>
      </c>
      <c r="T9" s="40"/>
      <c r="U9" s="68">
        <v>2</v>
      </c>
      <c r="V9" s="70">
        <f t="shared" si="3"/>
        <v>5.75</v>
      </c>
      <c r="W9" s="71">
        <f t="shared" si="4"/>
        <v>6.415257037312639E-4</v>
      </c>
      <c r="X9" s="428">
        <f t="shared" si="12"/>
        <v>3.5882355568615052E-3</v>
      </c>
      <c r="Y9" s="70">
        <f>'Structural Information'!$Z$10</f>
        <v>40.367000000000004</v>
      </c>
      <c r="Z9" s="71">
        <f t="shared" si="5"/>
        <v>0.1448463047238284</v>
      </c>
      <c r="AA9" s="70">
        <f>((Y9*X9)/(Z12)*$L$15)</f>
        <v>10.490827127490682</v>
      </c>
      <c r="AB9" s="70">
        <f>AD9-AD8+$O$19</f>
        <v>10.490823543856351</v>
      </c>
      <c r="AC9" s="70">
        <f t="shared" si="15"/>
        <v>95.136006854590249</v>
      </c>
      <c r="AD9" s="429">
        <f t="shared" si="16"/>
        <v>95.13600701964053</v>
      </c>
      <c r="AE9" s="430">
        <f>_xlfn.IFS((W9&lt;='Frame Capacities'!$BO$18),(W9*'Frame Capacities'!$BH$8*'Frame Capacities'!$BI$18),(AND((W9&gt;'Frame Capacities'!$BO$18),(W9&lt;='Frame Capacities'!$BP$18))),((W9-'Frame Capacities'!$BO$18)*'Frame Capacities'!$BH$8*('Frame Capacities'!$BJ$18)+'Frame Capacities'!$BC$18),(AND((W9&gt;'Frame Capacities'!$BP$18),(W9&lt;='Frame Capacities'!$BQ$18))),((W9-'Frame Capacities'!$BP$18)*'Frame Capacities'!$BH$8*('Frame Capacities'!$BK$18)+'Frame Capacities'!$BD$18),(AND((W9&gt;'Frame Capacities'!$BQ$18),(W9&lt;='Frame Capacities'!$BR$18))),((W9-'Frame Capacities'!$BQ$18)*'Frame Capacities'!$BH$8*('Frame Capacities'!$BL$18)+'Frame Capacities'!$BE$18))</f>
        <v>15.448315024391528</v>
      </c>
      <c r="AF9" s="431">
        <f>_xlfn.IFS((W9&lt;='Infill Capacities'!$CW$18),(W9*'Infill Capacities'!$CR$18*'Infill Capacities'!$CQ$8),(AND((W9&gt;'Infill Capacities'!$CW$18),(W9&lt;='Infill Capacities'!$CX$18))),((W9-'Infill Capacities'!$CW$18)*'Infill Capacities'!$CQ$8*('Infill Capacities'!$CS$18)+'Infill Capacities'!$CM$18),(AND((W9&gt;'Infill Capacities'!$CX$18),(W9&lt;='Infill Capacities'!$CY$18))),((W9-'Infill Capacities'!$CX$18)*'Infill Capacities'!$CQ$8*('Infill Capacities'!$CT$18)+'Infill Capacities'!$CN$18),(AND((W9&gt;'Infill Capacities'!$CY$18),(W9&lt;='Infill Capacities'!$CZ$18))),((W9-'Infill Capacities'!$CY$18)*'Infill Capacities'!$CQ$8*('Infill Capacities'!$CU$18)+'Infill Capacities'!$CP$18))</f>
        <v>79.687693285965764</v>
      </c>
      <c r="AG9" s="71">
        <f>AE9/$C$20</f>
        <v>9.5008087480882714E-2</v>
      </c>
      <c r="AH9" s="435">
        <f>AF9/$D$20</f>
        <v>0.36991093511384876</v>
      </c>
      <c r="AI9" s="433">
        <f t="shared" si="6"/>
        <v>95.136008310357298</v>
      </c>
      <c r="AJ9" s="561">
        <f t="shared" si="17"/>
        <v>-1.2907167672437936E-6</v>
      </c>
      <c r="AK9" s="436">
        <f t="shared" si="7"/>
        <v>-1.5301956602686193E-8</v>
      </c>
      <c r="AL9" s="40"/>
    </row>
    <row r="10" spans="1:38" x14ac:dyDescent="0.25">
      <c r="A10" s="314">
        <v>1</v>
      </c>
      <c r="B10" s="70">
        <f>B11+'Structural Information'!U11</f>
        <v>2.75</v>
      </c>
      <c r="C10" s="71">
        <f t="shared" si="8"/>
        <v>6.0496670751553202E-4</v>
      </c>
      <c r="D10" s="428">
        <f t="shared" si="9"/>
        <v>1.6636584456677132E-3</v>
      </c>
      <c r="E10" s="70">
        <f>'Structural Information'!$Z$11</f>
        <v>40.367000000000004</v>
      </c>
      <c r="F10" s="71">
        <f t="shared" si="0"/>
        <v>6.7156900476268586E-2</v>
      </c>
      <c r="G10" s="70">
        <f>((E10*D10)/(F12)*$L$15)</f>
        <v>4.8639916896426927</v>
      </c>
      <c r="H10" s="70">
        <f>J10-J9+$O$20</f>
        <v>4.8640007180877376</v>
      </c>
      <c r="I10" s="70">
        <f t="shared" si="13"/>
        <v>99.999999999999986</v>
      </c>
      <c r="J10" s="429">
        <f>I10-P9-$O$20</f>
        <v>100.00001027868964</v>
      </c>
      <c r="K10" s="430">
        <f>_xlfn.IFS((C10&lt;='Frame Capacities'!$BO$19),(C10*'Frame Capacities'!$BH$9*'Frame Capacities'!$BI$19),(AND((C10&gt;'Frame Capacities'!$BO$19),(C10&lt;='Frame Capacities'!$BP$19))),((C10-'Frame Capacities'!$BO$19)*'Frame Capacities'!$BH$9*('Frame Capacities'!$BJ$19)+'Frame Capacities'!$BC$19),(AND((C10&gt;'Frame Capacities'!$BP$19),(C10&lt;='Frame Capacities'!$BQ$19))),((C10-'Frame Capacities'!$BP$19)*'Frame Capacities'!$BH$9*('Frame Capacities'!$BK$19)+'Frame Capacities'!$BD$19),(AND((C10&gt;'Frame Capacities'!$BQ$19),(C10&lt;='Frame Capacities'!$BR$19))),((C10-'Frame Capacities'!$BQ$19)*'Frame Capacities'!$BH$9*('Frame Capacities'!$BL$19)+'Frame Capacities'!$BE$19))</f>
        <v>28.156499054365838</v>
      </c>
      <c r="L10" s="431">
        <f>_xlfn.IFS((C10&lt;='Infill Capacities'!$CW$19),(C10*'Infill Capacities'!$CR$19*'Infill Capacities'!$CQ$9),(AND((C10&gt;'Infill Capacities'!$CW$19),(C10&lt;='Infill Capacities'!$CX$19))),((C10-'Infill Capacities'!$CW$19)*'Infill Capacities'!$CQ$9*('Infill Capacities'!$CS$19)+'Infill Capacities'!$CM$19),(AND((C10&gt;'Infill Capacities'!$CX$19),(C10&lt;='Infill Capacities'!$CY$19))),((C10-'Infill Capacities'!$CX$19)*'Infill Capacities'!$CQ$9*('Infill Capacities'!$CT$19)+'Infill Capacities'!$CN$19),(AND((C10&gt;'Infill Capacities'!$CY$19),(C10&lt;='Infill Capacities'!$CZ$19))),((C10-'Infill Capacities'!$CY$19)*'Infill Capacities'!$CQ$9*('Infill Capacities'!$CU$19)+'Infill Capacities'!$CP$19))</f>
        <v>71.843500945634133</v>
      </c>
      <c r="M10" s="71">
        <f t="shared" si="1"/>
        <v>0.11388494249081639</v>
      </c>
      <c r="N10" s="432">
        <f t="shared" si="2"/>
        <v>0.34360413292792558</v>
      </c>
      <c r="O10" s="433">
        <f t="shared" si="10"/>
        <v>99.999999999999972</v>
      </c>
      <c r="P10" s="561">
        <f t="shared" si="14"/>
        <v>1.0278689671849861E-5</v>
      </c>
      <c r="Q10" s="40"/>
      <c r="R10" s="71">
        <f>_xlfn.IFS(('System Capacities'!$N$24+'System Capacities'!$N$37=2),(I10/$G$21),('System Capacities'!$N$24+'System Capacities'!$N$37=3),((ABS(I10-'System Capacities'!$L$60)/ABS($G$21))+('System Capacities'!$M$60*'System Capacities'!$D$11)),('System Capacities'!$N$24+'System Capacities'!$N$37=4),((ABS(ABS(I10-P10)-'System Capacities'!$L$61)/ABS($G$21))+('System Capacities'!$M$61*'System Capacities'!$D$11)),('System Capacities'!$N$24+'System Capacities'!$N$37=5),((ABS(ABS(I10-P10)-'System Capacities'!$L$62)/ABS($G$21))+('System Capacities'!$M$62*'System Capacities'!$D$11)),('System Capacities'!$N$24+'System Capacities'!$N$37=6),((ABS(ABS(I10-P10)-'System Capacities'!$L$63)/ABS($G$21))+('System Capacities'!$M$63*'System Capacities'!$D$11)),('System Capacities'!$N$24+'System Capacities'!$N$37=7),((ABS(ABS(I10-P10)-'System Capacities'!$L$64)/ABS($G$21))+('System Capacities'!$M$64*'System Capacities'!$D$11)),('System Capacities'!$N$24+'System Capacities'!$N$37=8),((ABS(ABS(I10-P10)-'System Capacities'!$L$65)/ABS($G$21))+('System Capacities'!$M$65*'System Capacities'!$D$11)),('System Capacities'!$N$24+'System Capacities'!$N$37=9),((ABS(ABS(I10-P10)-'System Capacities'!$L$66)/ABS($G$21))+('System Capacities'!$M$66*'System Capacities'!$D$11)),('System Capacities'!$N$24+'System Capacities'!$N$37=10),((ABS(ABS(I10-P10)-'System Capacities'!$L$67)/ABS($G$21))+('System Capacities'!$M$67*'System Capacities'!$D$11)))</f>
        <v>1.6636584456677134E-3</v>
      </c>
      <c r="S10" s="434">
        <f t="shared" si="11"/>
        <v>1.6636584456677134E-3</v>
      </c>
      <c r="T10" s="40"/>
      <c r="U10" s="68">
        <v>1</v>
      </c>
      <c r="V10" s="70">
        <f t="shared" si="3"/>
        <v>2.75</v>
      </c>
      <c r="W10" s="71">
        <f t="shared" si="4"/>
        <v>6.0496670751553213E-4</v>
      </c>
      <c r="X10" s="428">
        <f t="shared" si="12"/>
        <v>1.6636584456677134E-3</v>
      </c>
      <c r="Y10" s="70">
        <f>'Structural Information'!$Z$11</f>
        <v>40.367000000000004</v>
      </c>
      <c r="Z10" s="71">
        <f t="shared" si="5"/>
        <v>6.7156900476268599E-2</v>
      </c>
      <c r="AA10" s="70">
        <f>((Y10*X10)/(Z12)*$L$15)</f>
        <v>4.863993145409732</v>
      </c>
      <c r="AB10" s="70">
        <f>AD10-AD9+$O$20</f>
        <v>4.8639942710762227</v>
      </c>
      <c r="AC10" s="70">
        <f t="shared" si="15"/>
        <v>99.999999999999986</v>
      </c>
      <c r="AD10" s="429">
        <f t="shared" si="16"/>
        <v>100.00000129071675</v>
      </c>
      <c r="AE10" s="430">
        <f>_xlfn.IFS((W10&lt;='Frame Capacities'!$BO$19),(W10*'Frame Capacities'!$BH$9*'Frame Capacities'!$BI$19),(AND((W10&gt;'Frame Capacities'!$BO$19),(W10&lt;='Frame Capacities'!$BP$19))),((W10-'Frame Capacities'!$BO$19)*'Frame Capacities'!$BH$9*('Frame Capacities'!$BJ$19)+'Frame Capacities'!$BC$19),(AND((W10&gt;'Frame Capacities'!$BP$19),(W10&lt;='Frame Capacities'!$BQ$19))),((W10-'Frame Capacities'!$BP$19)*'Frame Capacities'!$BH$9*('Frame Capacities'!$BK$19)+'Frame Capacities'!$BD$19),(AND((W10&gt;'Frame Capacities'!$BQ$19),(W10&lt;='Frame Capacities'!$BR$19))),((W10-'Frame Capacities'!$BQ$19)*'Frame Capacities'!$BH$9*('Frame Capacities'!$BL$19)+'Frame Capacities'!$BE$19))</f>
        <v>28.156499054365845</v>
      </c>
      <c r="AF10" s="431">
        <f>_xlfn.IFS((W10&lt;='Infill Capacities'!$CW$19),(W10*'Infill Capacities'!$CR$19*'Infill Capacities'!$CQ$9),(AND((W10&gt;'Infill Capacities'!$CW$19),(W10&lt;='Infill Capacities'!$CX$19))),((W10-'Infill Capacities'!$CW$19)*'Infill Capacities'!$CQ$9*('Infill Capacities'!$CS$19)+'Infill Capacities'!$CM$19),(AND((W10&gt;'Infill Capacities'!$CX$19),(W10&lt;='Infill Capacities'!$CY$19))),((W10-'Infill Capacities'!$CX$19)*'Infill Capacities'!$CQ$9*('Infill Capacities'!$CT$19)+'Infill Capacities'!$CN$19),(AND((W10&gt;'Infill Capacities'!$CY$19),(W10&lt;='Infill Capacities'!$CZ$19))),((W10-'Infill Capacities'!$CY$19)*'Infill Capacities'!$CQ$9*('Infill Capacities'!$CU$19)+'Infill Capacities'!$CP$19))</f>
        <v>71.843500945634148</v>
      </c>
      <c r="AG10" s="71">
        <f>AE10/$C$21</f>
        <v>0.11388494249081642</v>
      </c>
      <c r="AH10" s="435">
        <f>AF10/$D$21</f>
        <v>0.34360413292792569</v>
      </c>
      <c r="AI10" s="433">
        <f t="shared" si="6"/>
        <v>100</v>
      </c>
      <c r="AJ10" s="561">
        <f t="shared" si="17"/>
        <v>1.2907167530329389E-6</v>
      </c>
      <c r="AK10" s="436">
        <f t="shared" si="7"/>
        <v>-1.4210854715202006E-16</v>
      </c>
      <c r="AL10" s="40"/>
    </row>
    <row r="11" spans="1:38" x14ac:dyDescent="0.25">
      <c r="A11" s="314">
        <v>0</v>
      </c>
      <c r="B11" s="70">
        <f>'Structural Information'!U12</f>
        <v>0</v>
      </c>
      <c r="C11" s="71" t="s">
        <v>83</v>
      </c>
      <c r="D11" s="428">
        <f t="shared" si="9"/>
        <v>0</v>
      </c>
      <c r="E11" s="70" t="s">
        <v>83</v>
      </c>
      <c r="F11" s="71">
        <v>0</v>
      </c>
      <c r="G11" s="70" t="s">
        <v>83</v>
      </c>
      <c r="H11" s="70" t="s">
        <v>83</v>
      </c>
      <c r="I11" s="70" t="s">
        <v>83</v>
      </c>
      <c r="J11" s="70" t="s">
        <v>83</v>
      </c>
      <c r="K11" s="430" t="s">
        <v>83</v>
      </c>
      <c r="L11" s="430" t="s">
        <v>83</v>
      </c>
      <c r="M11" s="327" t="s">
        <v>83</v>
      </c>
      <c r="N11" s="437" t="s">
        <v>83</v>
      </c>
      <c r="O11" s="438" t="s">
        <v>83</v>
      </c>
      <c r="P11" s="439" t="s">
        <v>83</v>
      </c>
      <c r="Q11" s="40"/>
      <c r="R11" s="71">
        <v>0</v>
      </c>
      <c r="S11" s="434">
        <f>R11</f>
        <v>0</v>
      </c>
      <c r="T11" s="40"/>
      <c r="U11" s="68">
        <v>0</v>
      </c>
      <c r="V11" s="70">
        <f t="shared" si="3"/>
        <v>0</v>
      </c>
      <c r="W11" s="71" t="s">
        <v>83</v>
      </c>
      <c r="X11" s="428">
        <f t="shared" si="12"/>
        <v>0</v>
      </c>
      <c r="Y11" s="70" t="str">
        <f>E11</f>
        <v>-</v>
      </c>
      <c r="Z11" s="71">
        <v>0</v>
      </c>
      <c r="AA11" s="70" t="s">
        <v>83</v>
      </c>
      <c r="AB11" s="70"/>
      <c r="AC11" s="440" t="s">
        <v>83</v>
      </c>
      <c r="AD11" s="440"/>
      <c r="AE11" s="430" t="s">
        <v>83</v>
      </c>
      <c r="AF11" s="430" t="s">
        <v>83</v>
      </c>
      <c r="AG11" s="327" t="s">
        <v>83</v>
      </c>
      <c r="AH11" s="430" t="s">
        <v>83</v>
      </c>
      <c r="AI11" s="438" t="s">
        <v>83</v>
      </c>
      <c r="AJ11" s="438" t="s">
        <v>83</v>
      </c>
      <c r="AK11" s="40"/>
      <c r="AL11" s="40"/>
    </row>
    <row r="12" spans="1:38" x14ac:dyDescent="0.25">
      <c r="A12" s="7"/>
      <c r="B12" s="562"/>
      <c r="C12" s="562"/>
      <c r="D12" s="562"/>
      <c r="E12" s="351" t="s">
        <v>95</v>
      </c>
      <c r="F12" s="441">
        <f>SUM(F5:F11)</f>
        <v>1.3806952141647659</v>
      </c>
      <c r="G12" s="562"/>
      <c r="H12" s="562"/>
      <c r="I12" s="562"/>
      <c r="J12" s="562"/>
      <c r="K12" s="562"/>
      <c r="L12" s="562"/>
      <c r="M12" s="562"/>
      <c r="N12" s="562"/>
      <c r="O12" s="562"/>
      <c r="P12" s="8"/>
      <c r="Q12" s="40"/>
      <c r="R12" s="40"/>
      <c r="S12" s="40"/>
      <c r="T12" s="40"/>
      <c r="U12" s="40"/>
      <c r="V12" s="40"/>
      <c r="W12" s="40"/>
      <c r="X12" s="40"/>
      <c r="Y12" s="295" t="s">
        <v>95</v>
      </c>
      <c r="Z12" s="442">
        <f>SUM(Z5:Z11)</f>
        <v>1.3806948009300999</v>
      </c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</row>
    <row r="13" spans="1:38" x14ac:dyDescent="0.25">
      <c r="A13" s="7"/>
      <c r="B13" s="562"/>
      <c r="C13" s="562"/>
      <c r="D13" s="562"/>
      <c r="E13" s="562"/>
      <c r="F13" s="562"/>
      <c r="G13" s="562"/>
      <c r="H13" s="562"/>
      <c r="I13" s="562"/>
      <c r="J13" s="562"/>
      <c r="K13" s="562"/>
      <c r="L13" s="562"/>
      <c r="M13" s="562"/>
      <c r="N13" s="562"/>
      <c r="O13" s="562"/>
      <c r="P13" s="8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</row>
    <row r="14" spans="1:38" ht="15" customHeight="1" thickBot="1" x14ac:dyDescent="0.3">
      <c r="A14" s="7"/>
      <c r="B14" s="919" t="s">
        <v>100</v>
      </c>
      <c r="C14" s="919"/>
      <c r="D14" s="919"/>
      <c r="E14" s="919"/>
      <c r="F14" s="919"/>
      <c r="G14" s="919"/>
      <c r="H14" s="569"/>
      <c r="I14" s="563"/>
      <c r="J14" s="563"/>
      <c r="K14" s="900" t="s">
        <v>296</v>
      </c>
      <c r="L14" s="900"/>
      <c r="M14" s="562"/>
      <c r="N14" s="576" t="s">
        <v>465</v>
      </c>
      <c r="O14" s="577" t="s">
        <v>466</v>
      </c>
      <c r="P14" s="8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</row>
    <row r="15" spans="1:38" ht="16.5" thickBot="1" x14ac:dyDescent="0.3">
      <c r="A15" s="7"/>
      <c r="B15" s="68" t="s">
        <v>9</v>
      </c>
      <c r="C15" s="68" t="s">
        <v>211</v>
      </c>
      <c r="D15" s="68" t="s">
        <v>212</v>
      </c>
      <c r="E15" s="68" t="s">
        <v>85</v>
      </c>
      <c r="F15" s="68" t="s">
        <v>87</v>
      </c>
      <c r="G15" s="68" t="s">
        <v>197</v>
      </c>
      <c r="H15" s="554"/>
      <c r="I15" s="562"/>
      <c r="J15" s="562"/>
      <c r="K15" s="443" t="s">
        <v>297</v>
      </c>
      <c r="L15" s="430">
        <f>S68</f>
        <v>100</v>
      </c>
      <c r="M15" s="58"/>
      <c r="N15" s="571">
        <v>6</v>
      </c>
      <c r="O15" s="572">
        <f t="shared" ref="O15:O20" si="18">P68</f>
        <v>0</v>
      </c>
      <c r="P15" s="8"/>
      <c r="Q15" s="40"/>
      <c r="R15" s="882" t="s">
        <v>272</v>
      </c>
      <c r="S15" s="884"/>
      <c r="T15" s="4"/>
      <c r="U15" s="882" t="s">
        <v>272</v>
      </c>
      <c r="V15" s="883"/>
      <c r="W15" s="883"/>
      <c r="X15" s="883"/>
      <c r="Y15" s="883"/>
      <c r="Z15" s="883"/>
      <c r="AA15" s="883"/>
      <c r="AB15" s="883"/>
      <c r="AC15" s="883"/>
      <c r="AD15" s="883"/>
      <c r="AE15" s="883"/>
      <c r="AF15" s="883"/>
      <c r="AG15" s="883"/>
      <c r="AH15" s="883"/>
      <c r="AI15" s="883"/>
      <c r="AJ15" s="884"/>
      <c r="AK15" s="40"/>
      <c r="AL15" s="40"/>
    </row>
    <row r="16" spans="1:38" x14ac:dyDescent="0.25">
      <c r="A16" s="7"/>
      <c r="B16" s="351">
        <v>6</v>
      </c>
      <c r="C16" s="70">
        <f>'System Capacities'!N6</f>
        <v>88.933333333333337</v>
      </c>
      <c r="D16" s="70">
        <f>'System Capacities'!O6</f>
        <v>216.48000000000002</v>
      </c>
      <c r="E16" s="430">
        <f>'System Capacities'!P6</f>
        <v>240.43401860994643</v>
      </c>
      <c r="F16" s="325">
        <f>'System Capacities'!Q6</f>
        <v>2.2387978504494433E-3</v>
      </c>
      <c r="G16" s="70">
        <f>'System Capacities'!R6</f>
        <v>35798.083714388478</v>
      </c>
      <c r="H16" s="570"/>
      <c r="I16" s="562"/>
      <c r="J16" s="562"/>
      <c r="K16" s="562"/>
      <c r="L16" s="562"/>
      <c r="M16" s="562"/>
      <c r="N16" s="571">
        <v>5</v>
      </c>
      <c r="O16" s="572">
        <f t="shared" si="18"/>
        <v>0</v>
      </c>
      <c r="P16" s="8"/>
      <c r="Q16" s="40"/>
      <c r="R16" s="633" t="s">
        <v>98</v>
      </c>
      <c r="S16" s="587" t="s">
        <v>97</v>
      </c>
      <c r="T16" s="40"/>
      <c r="U16" s="587" t="s">
        <v>0</v>
      </c>
      <c r="V16" s="587" t="s">
        <v>89</v>
      </c>
      <c r="W16" s="587" t="s">
        <v>119</v>
      </c>
      <c r="X16" s="633" t="s">
        <v>91</v>
      </c>
      <c r="Y16" s="587" t="s">
        <v>93</v>
      </c>
      <c r="Z16" s="587" t="s">
        <v>94</v>
      </c>
      <c r="AA16" s="590" t="s">
        <v>461</v>
      </c>
      <c r="AB16" s="590" t="s">
        <v>462</v>
      </c>
      <c r="AC16" s="590" t="s">
        <v>463</v>
      </c>
      <c r="AD16" s="590" t="s">
        <v>464</v>
      </c>
      <c r="AE16" s="633" t="s">
        <v>208</v>
      </c>
      <c r="AF16" s="633" t="s">
        <v>207</v>
      </c>
      <c r="AG16" s="633" t="s">
        <v>209</v>
      </c>
      <c r="AH16" s="633" t="s">
        <v>210</v>
      </c>
      <c r="AI16" s="903" t="s">
        <v>394</v>
      </c>
      <c r="AJ16" s="875" t="s">
        <v>456</v>
      </c>
      <c r="AK16" s="895" t="s">
        <v>267</v>
      </c>
      <c r="AL16" s="40"/>
    </row>
    <row r="17" spans="1:38" x14ac:dyDescent="0.25">
      <c r="A17" s="7"/>
      <c r="B17" s="351">
        <v>5</v>
      </c>
      <c r="C17" s="70">
        <f>'System Capacities'!N7</f>
        <v>104.39999999999999</v>
      </c>
      <c r="D17" s="70">
        <f>'System Capacities'!O7</f>
        <v>216.48000000000002</v>
      </c>
      <c r="E17" s="430">
        <f>'System Capacities'!P7</f>
        <v>237.40446392597082</v>
      </c>
      <c r="F17" s="325">
        <f>'System Capacities'!Q7</f>
        <v>1.92360761471166E-3</v>
      </c>
      <c r="G17" s="70">
        <f>'System Capacities'!R7</f>
        <v>41138.754444221144</v>
      </c>
      <c r="H17" s="570"/>
      <c r="I17" s="562"/>
      <c r="J17" s="562"/>
      <c r="K17" s="562"/>
      <c r="L17" s="562"/>
      <c r="M17" s="562"/>
      <c r="N17" s="571">
        <v>4</v>
      </c>
      <c r="O17" s="572">
        <f t="shared" si="18"/>
        <v>0</v>
      </c>
      <c r="P17" s="8"/>
      <c r="Q17" s="40"/>
      <c r="R17" s="590"/>
      <c r="S17" s="588"/>
      <c r="T17" s="40"/>
      <c r="U17" s="588"/>
      <c r="V17" s="588"/>
      <c r="W17" s="588"/>
      <c r="X17" s="590"/>
      <c r="Y17" s="588"/>
      <c r="Z17" s="588"/>
      <c r="AA17" s="590"/>
      <c r="AB17" s="590"/>
      <c r="AC17" s="590"/>
      <c r="AD17" s="590"/>
      <c r="AE17" s="590"/>
      <c r="AF17" s="590"/>
      <c r="AG17" s="590"/>
      <c r="AH17" s="590"/>
      <c r="AI17" s="898"/>
      <c r="AJ17" s="875"/>
      <c r="AK17" s="895"/>
      <c r="AL17" s="40"/>
    </row>
    <row r="18" spans="1:38" x14ac:dyDescent="0.25">
      <c r="A18" s="7"/>
      <c r="B18" s="351">
        <v>4</v>
      </c>
      <c r="C18" s="70">
        <f>'System Capacities'!N8</f>
        <v>114.33333333333333</v>
      </c>
      <c r="D18" s="70">
        <f>'System Capacities'!O8</f>
        <v>216.48000000000002</v>
      </c>
      <c r="E18" s="430">
        <f>'System Capacities'!P8</f>
        <v>239.96993624289689</v>
      </c>
      <c r="F18" s="325">
        <f>'System Capacities'!Q8</f>
        <v>1.852250472241956E-3</v>
      </c>
      <c r="G18" s="70">
        <f>'System Capacities'!R8</f>
        <v>43185.2926730869</v>
      </c>
      <c r="H18" s="570"/>
      <c r="I18" s="562"/>
      <c r="J18" s="562"/>
      <c r="K18" s="562"/>
      <c r="L18" s="564"/>
      <c r="M18" s="562"/>
      <c r="N18" s="573">
        <v>3</v>
      </c>
      <c r="O18" s="572">
        <f t="shared" si="18"/>
        <v>0</v>
      </c>
      <c r="P18" s="8"/>
      <c r="Q18" s="40"/>
      <c r="R18" s="71">
        <f>_xlfn.IFS(('System Capacities'!$N$19+'System Capacities'!$N$32=2),(ABS(AD5/$G$16)),('System Capacities'!$N$19+'System Capacities'!$N$32=3),((ABS(AD5-'System Capacities'!$D$47)/ABS($G$16))+('System Capacities'!$E$47*'System Capacities'!$D$6)),('System Capacities'!$N$19+'System Capacities'!$N$32=4),((ABS(ABS(AD5-AJ5)-'System Capacities'!$D$48)/ABS($G$16))+('System Capacities'!$E$48*'System Capacities'!$D$6)),('System Capacities'!$N$19+'System Capacities'!$N$32=5),((ABS(ABS(AD5-AJ5)-'System Capacities'!$D$49)/ABS($G$16))+('System Capacities'!$E$49*'System Capacities'!$D$6)),('System Capacities'!$N$19+'System Capacities'!$N$32=6),((ABS(ABS(AD5-AJ5)-'System Capacities'!$D$50)/ABS($G$16))+('System Capacities'!$E$50*'System Capacities'!$D$6)),('System Capacities'!$N$19+'System Capacities'!$N$32=7),((ABS(ABS(AD5-AJ5)-'System Capacities'!$D$51)/ABS($G$16))+('System Capacities'!$E$51*'System Capacities'!$D$6)),('System Capacities'!$N$19+'System Capacities'!$N$32=8),((ABS(ABS(AD5-AJ5)-'System Capacities'!$D$52)/ABS($G$16))+('System Capacities'!$E$52*'System Capacities'!$D$6)),('System Capacities'!$N$19+'System Capacities'!$N$32=9),((ABS(ABS(AD5-AJ5)-'System Capacities'!$D$53)/ABS($G$16))+('System Capacities'!$E$53*'System Capacities'!$D$6)),('System Capacities'!$N$19+'System Capacities'!$N$32=8),((ABS(ABS(AD5-AJ5)-'System Capacities'!$D$54)/ABS($G$16))+('System Capacities'!$E$54*'System Capacities'!$D$6)))</f>
        <v>6.7920840558410888E-4</v>
      </c>
      <c r="S18" s="444">
        <f t="shared" ref="S18:S23" si="19">S19+R18</f>
        <v>8.8706733771503864E-3</v>
      </c>
      <c r="T18" s="40"/>
      <c r="U18" s="68">
        <v>6</v>
      </c>
      <c r="V18" s="70">
        <f t="shared" ref="V18:V24" si="20">V5</f>
        <v>17.75</v>
      </c>
      <c r="W18" s="71">
        <f t="shared" ref="W18:W23" si="21">R18/(V18-V19)</f>
        <v>2.2640280186136963E-4</v>
      </c>
      <c r="X18" s="428">
        <f t="shared" ref="X18:X24" si="22">S18</f>
        <v>8.8706733771503864E-3</v>
      </c>
      <c r="Y18" s="70">
        <f>'Structural Information'!$Z$6</f>
        <v>37.8446</v>
      </c>
      <c r="Z18" s="70">
        <f t="shared" ref="Z18:Z23" si="23">Y18*X18</f>
        <v>0.3357070856889055</v>
      </c>
      <c r="AA18" s="70">
        <f>((Y18*X18)/(Z25)*$L$15)</f>
        <v>24.314358987412025</v>
      </c>
      <c r="AB18" s="70">
        <f>AD18+$O$15</f>
        <v>24.314358987412025</v>
      </c>
      <c r="AC18" s="70">
        <f>AA18</f>
        <v>24.314358987412025</v>
      </c>
      <c r="AD18" s="429">
        <f>AC18-$O$12</f>
        <v>24.314358987412025</v>
      </c>
      <c r="AE18" s="430">
        <f>_xlfn.IFS((W18&lt;='Frame Capacities'!$BO$14),(W18*'Frame Capacities'!$BH$4*'Frame Capacities'!$BI$14),(AND((W18&gt;'Frame Capacities'!$BO$14),(W18&lt;='Frame Capacities'!$BP$14))),((W18-'Frame Capacities'!$BO$14)*'Frame Capacities'!$BH$4*('Frame Capacities'!$BJ$14)+'Frame Capacities'!$BC$14),(AND((W18&gt;'Frame Capacities'!$BP$14),(W18&lt;='Frame Capacities'!$BQ$14))),((W18-'Frame Capacities'!$BP$14)*'Frame Capacities'!$BH$4*('Frame Capacities'!$BK$14)+'Frame Capacities'!$BD$14),(AND((W18&gt;'Frame Capacities'!$BQ$14),(W18&lt;='Frame Capacities'!$BR$14))),((W18-'Frame Capacities'!$BQ$14)*'Frame Capacities'!$BH$4*('Frame Capacities'!$BL$14)+'Frame Capacities'!$BE$14))</f>
        <v>2.4223968805591487</v>
      </c>
      <c r="AF18" s="431">
        <f>_xlfn.IFS((W18&lt;='Infill Capacities'!$CW$14),(W18*'Infill Capacities'!$CR$14*'Infill Capacities'!$CQ$4),(AND((W18&gt;'Infill Capacities'!$CW$14),(W18&lt;='Infill Capacities'!$CX$14))),((W18-'Infill Capacities'!$CW$14)*'Infill Capacities'!$CQ$4*('Infill Capacities'!$CS$14)+'Infill Capacities'!$CM$14),(AND((W18&gt;'Infill Capacities'!$CX$14),(W18&lt;='Infill Capacities'!$CY$14))),((W18-'Infill Capacities'!$CX$14)*'Infill Capacities'!$CQ$4*('Infill Capacities'!$CT$14)+'Infill Capacities'!$CN$14),(AND((W18&gt;'Infill Capacities'!$CY$14),(W18&lt;='Infill Capacities'!$CZ$14))),((W18-'Infill Capacities'!$CY$14)*'Infill Capacities'!$CQ$4*('Infill Capacities'!$CU$14)+'Infill Capacities'!$CP$14))</f>
        <v>21.891962482057103</v>
      </c>
      <c r="AG18" s="325">
        <f>AE18/$C$16</f>
        <v>2.7238345733423711E-2</v>
      </c>
      <c r="AH18" s="445">
        <f>AF18/$D$16</f>
        <v>0.10112695159856384</v>
      </c>
      <c r="AI18" s="433">
        <f t="shared" ref="AI18:AI23" si="24">AE18+AF18</f>
        <v>24.314359362616251</v>
      </c>
      <c r="AJ18" s="561">
        <f>AD18-AI18</f>
        <v>-3.7520422679904186E-7</v>
      </c>
      <c r="AK18" s="436">
        <f t="shared" ref="AK18:AK23" si="25">(AC18-(AI18))/AC18</f>
        <v>-1.543138468068567E-8</v>
      </c>
      <c r="AL18" s="40"/>
    </row>
    <row r="19" spans="1:38" x14ac:dyDescent="0.25">
      <c r="A19" s="7"/>
      <c r="B19" s="351">
        <v>3</v>
      </c>
      <c r="C19" s="70">
        <f>'System Capacities'!N9</f>
        <v>154.19999999999999</v>
      </c>
      <c r="D19" s="70">
        <f>'System Capacities'!O9</f>
        <v>215.42400000000004</v>
      </c>
      <c r="E19" s="430">
        <f>'System Capacities'!P9</f>
        <v>247.61383551340651</v>
      </c>
      <c r="F19" s="325">
        <f>'System Capacities'!Q9</f>
        <v>1.7915672005543457E-3</v>
      </c>
      <c r="G19" s="70">
        <f>'System Capacities'!R9</f>
        <v>46070.247962564099</v>
      </c>
      <c r="H19" s="570"/>
      <c r="I19" s="562"/>
      <c r="J19" s="562"/>
      <c r="K19" s="565" t="s">
        <v>289</v>
      </c>
      <c r="L19" s="435">
        <v>1</v>
      </c>
      <c r="M19" s="562"/>
      <c r="N19" s="573">
        <v>2</v>
      </c>
      <c r="O19" s="572">
        <f t="shared" si="18"/>
        <v>0</v>
      </c>
      <c r="P19" s="8"/>
      <c r="Q19" s="40"/>
      <c r="R19" s="71">
        <f>_xlfn.IFS(('System Capacities'!$N$20+'System Capacities'!$N$33=2),(ABS(AD6/$G$17)),('System Capacities'!$N$20+'System Capacities'!$N$33=3),((ABS(AD6-'System Capacities'!$H$47)/ABS($G$17))+('System Capacities'!$I$47*'System Capacities'!$D$7)),('System Capacities'!$N$20+'System Capacities'!$N$33=4),((ABS(ABS(AD6-AJ6)-'System Capacities'!$H$48)/ABS($G$17))+('System Capacities'!$I$48*'System Capacities'!$D$7)),('System Capacities'!$N$20+'System Capacities'!$N$33=5),((ABS(ABS(AD6-AJ6)-'System Capacities'!H$49)/ABS($G$17))+('System Capacities'!$I$49*'System Capacities'!$D$7)),('System Capacities'!$N$20+'System Capacities'!$N$33=6),((ABS(ABS(AD6-AJ6)-'System Capacities'!$H$50)/ABS($G$17))+('System Capacities'!$I$50*'System Capacities'!$D$7)),('System Capacities'!$N$20+'System Capacities'!$N$33=7),((ABS(ABS(AD6-AJ6)-'System Capacities'!$H$51)/ABS($G$17))+('System Capacities'!$I$51*'System Capacities'!$D$7)),('System Capacities'!N33+'System Capacities'!$N$33=8),((ABS(ABS(AD6-AJ6)-'System Capacities'!$H$52)/ABS($G$17))+('System Capacities'!$I$52*'System Capacities'!$D$7)),('System Capacities'!N33+'System Capacities'!$N$33=9),((ABS(ABS(AD6-AJ6)-'System Capacities'!$H$53)/ABS($G$17))+('System Capacities'!$I$53*'System Capacities'!$D$7)),('System Capacities'!N33+'System Capacities'!$N$33=10),((ABS(ABS(AD6-AJ6)-'System Capacities'!$H$54)/ABS($G$17))+('System Capacities'!$I$54*'System Capacities'!$D$7)))</f>
        <v>1.1731888524416801E-3</v>
      </c>
      <c r="S19" s="444">
        <f t="shared" si="19"/>
        <v>8.1914649715662778E-3</v>
      </c>
      <c r="T19" s="40"/>
      <c r="U19" s="68">
        <v>5</v>
      </c>
      <c r="V19" s="70">
        <f t="shared" si="20"/>
        <v>14.75</v>
      </c>
      <c r="W19" s="71">
        <f t="shared" si="21"/>
        <v>3.9106295081389335E-4</v>
      </c>
      <c r="X19" s="428">
        <f t="shared" si="22"/>
        <v>8.1914649715662778E-3</v>
      </c>
      <c r="Y19" s="70">
        <f>'Structural Information'!$Z$7</f>
        <v>40.367000000000004</v>
      </c>
      <c r="Z19" s="70">
        <f t="shared" si="23"/>
        <v>0.33066486650721599</v>
      </c>
      <c r="AA19" s="70">
        <f>((Y19*X19)/(Z25)*$L$15)</f>
        <v>23.94916464834936</v>
      </c>
      <c r="AB19" s="70">
        <f>AD19-AD18+$O$16</f>
        <v>23.949165023553586</v>
      </c>
      <c r="AC19" s="70">
        <f>AC18+AA19</f>
        <v>48.263523635761388</v>
      </c>
      <c r="AD19" s="429">
        <f>AC19-AJ18-$O$13</f>
        <v>48.263524010965611</v>
      </c>
      <c r="AE19" s="430">
        <f>_xlfn.IFS((W19&lt;='Frame Capacities'!$BO$15),(W19*'Frame Capacities'!$BH$5*'Frame Capacities'!$BI$15),(AND((W19&gt;'Frame Capacities'!$BO$15),(W19&lt;='Frame Capacities'!$BP$15))),((W19-'Frame Capacities'!$BO$15)*'Frame Capacities'!$BH$5*('Frame Capacities'!$BJ$15)+'Frame Capacities'!$BC$15),(AND((W19&gt;'Frame Capacities'!$BP$15),(W19&lt;='Frame Capacities'!$BQ$15))),((W19-'Frame Capacities'!$BP$15)*'Frame Capacities'!$BH$5*('Frame Capacities'!$BK$15)+'Frame Capacities'!$BD$15),(AND((W19&gt;'Frame Capacities'!$BQ$15),(W19&lt;='Frame Capacities'!$BR$15))),((W19-'Frame Capacities'!$BQ$15)*'Frame Capacities'!$BH$5*('Frame Capacities'!$BL$15)+'Frame Capacities'!$BE$15))</f>
        <v>4.2538730583656807</v>
      </c>
      <c r="AF19" s="431">
        <f>_xlfn.IFS((W19&lt;='Infill Capacities'!$CW$15),(W19*'Infill Capacities'!$CR$15*'Infill Capacities'!$CQ$5),(AND((W19&gt;'Infill Capacities'!$CW$15),(W19&lt;='Infill Capacities'!$CX$15))),((W19-'Infill Capacities'!$CW$15)*'Infill Capacities'!$CQ$5*('Infill Capacities'!$CS$15)+'Infill Capacities'!$CM$15),(AND((W19&gt;'Infill Capacities'!$CX$15),(W19&lt;='Infill Capacities'!$CY$15))),((W19-'Infill Capacities'!$CX$15)*'Infill Capacities'!$CQ$5*('Infill Capacities'!$CT$15)+'Infill Capacities'!$CN$15),(AND((W19&gt;'Infill Capacities'!$CY$15),(W19&lt;='Infill Capacities'!$CZ$15))),((W19-'Infill Capacities'!$CY$15)*'Infill Capacities'!$CQ$5*('Infill Capacities'!$CU$15)+'Infill Capacities'!$CP$15))</f>
        <v>44.009655058930193</v>
      </c>
      <c r="AG19" s="325">
        <f>AE19/$C$17</f>
        <v>4.0745910520744069E-2</v>
      </c>
      <c r="AH19" s="445">
        <f>AF19/$D$17</f>
        <v>0.20329663275559032</v>
      </c>
      <c r="AI19" s="433">
        <f t="shared" si="24"/>
        <v>48.263528117295877</v>
      </c>
      <c r="AJ19" s="561">
        <f>AD19-AI19</f>
        <v>-4.1063302660404588E-6</v>
      </c>
      <c r="AK19" s="436">
        <f t="shared" si="25"/>
        <v>-9.285551803279744E-8</v>
      </c>
      <c r="AL19" s="40"/>
    </row>
    <row r="20" spans="1:38" x14ac:dyDescent="0.25">
      <c r="A20" s="7"/>
      <c r="B20" s="351">
        <v>2</v>
      </c>
      <c r="C20" s="70">
        <f>'System Capacities'!N10</f>
        <v>162.6</v>
      </c>
      <c r="D20" s="70">
        <f>'System Capacities'!O10</f>
        <v>215.42400000000004</v>
      </c>
      <c r="E20" s="430">
        <f>'System Capacities'!P10</f>
        <v>257.18625560792617</v>
      </c>
      <c r="F20" s="325">
        <f>'System Capacities'!Q10</f>
        <v>1.7342707198796904E-3</v>
      </c>
      <c r="G20" s="70">
        <f>'System Capacities'!R10</f>
        <v>49432.162399222128</v>
      </c>
      <c r="H20" s="570"/>
      <c r="I20" s="562"/>
      <c r="J20" s="562"/>
      <c r="K20" s="562"/>
      <c r="L20" s="564"/>
      <c r="M20" s="562"/>
      <c r="N20" s="574">
        <v>1</v>
      </c>
      <c r="O20" s="575">
        <f t="shared" si="18"/>
        <v>0</v>
      </c>
      <c r="P20" s="8"/>
      <c r="Q20" s="40"/>
      <c r="R20" s="71">
        <f>_xlfn.IFS(('System Capacities'!$N$21+'System Capacities'!$N$34=2),(ABS(AD7/$G$18)),('System Capacities'!$N$21+'System Capacities'!$N$34=3),((ABS(AD7-'System Capacities'!$L$47)/ABS($G$18))+('System Capacities'!$M$47*'System Capacities'!$D$8)),('System Capacities'!$N$21+'System Capacities'!$N$34=4),((ABS(ABS(AD7-AJ7)-'System Capacities'!$L$48)/ABS($G$18))+('System Capacities'!$M$48*'System Capacities'!$D$8)),('System Capacities'!$N$21+'System Capacities'!$N$34=5),((ABS(ABS(AD7-AJ7)-'System Capacities'!$L$49)/ABS($G$18))+('System Capacities'!$M$49*'System Capacities'!$D$8)),('System Capacities'!$N$21+'System Capacities'!$N$34=6),((ABS(ABS(AD7-AJ7)-'System Capacities'!$L$50)/ABS($G$18))+('System Capacities'!$M$50*'System Capacities'!$D$8)),('System Capacities'!$N$21+'System Capacities'!$N$34=7),((ABS(ABS(AD7-AJ7)-'System Capacities'!$L$51)/ABS($G$18))+('System Capacities'!$M$51*'System Capacities'!$D$8)),('System Capacities'!$N$21+'System Capacities'!$N$34=8),((ABS(ABS(AD7-AJ7)-'System Capacities'!$L$52)/ABS($G$18))+('System Capacities'!$M$52*'System Capacities'!$D$8)),('System Capacities'!$N$21+'System Capacities'!$N$34=9),((ABS(ABS(AD7-AJ7)-'System Capacities'!$L$53)/ABS($G$18))+('System Capacities'!$M$53*'System Capacities'!$D$8)),('System Capacities'!$N$21+'System Capacities'!$N$34=10),((ABS(ABS(AD7-AJ7)-'System Capacities'!$L$54)/ABS($G$18))+('System Capacities'!$M$54*'System Capacities'!$D$8)))</f>
        <v>1.5927336884016142E-3</v>
      </c>
      <c r="S20" s="444">
        <f t="shared" si="19"/>
        <v>7.0182761191245977E-3</v>
      </c>
      <c r="T20" s="40"/>
      <c r="U20" s="68">
        <v>4</v>
      </c>
      <c r="V20" s="70">
        <f t="shared" si="20"/>
        <v>11.75</v>
      </c>
      <c r="W20" s="71">
        <f t="shared" si="21"/>
        <v>5.3091122946720469E-4</v>
      </c>
      <c r="X20" s="428">
        <f t="shared" si="22"/>
        <v>7.0182761191245977E-3</v>
      </c>
      <c r="Y20" s="70">
        <f>'Structural Information'!$Z$8</f>
        <v>40.367000000000004</v>
      </c>
      <c r="Z20" s="70">
        <f t="shared" si="23"/>
        <v>0.28330675210070266</v>
      </c>
      <c r="AA20" s="70">
        <f>((Y20*X20)/(Z25)*$L$15)</f>
        <v>20.519144122318654</v>
      </c>
      <c r="AB20" s="70">
        <f>AD20-AD19+$O$17</f>
        <v>20.519147853444693</v>
      </c>
      <c r="AC20" s="70">
        <f t="shared" ref="AC20:AC23" si="26">AC19+AA20</f>
        <v>68.782667758080038</v>
      </c>
      <c r="AD20" s="429">
        <f t="shared" ref="AD20:AD23" si="27">AC20-AJ19-$O$13</f>
        <v>68.782671864410304</v>
      </c>
      <c r="AE20" s="430">
        <f>_xlfn.IFS((W20&lt;='Frame Capacities'!$BO$16),(W20*'Frame Capacities'!$BH$6*'Frame Capacities'!$BI$16),(AND((W20&gt;'Frame Capacities'!$BO$16),(W20&lt;='Frame Capacities'!$BP$16))),((W20-'Frame Capacities'!$BO$16)*'Frame Capacities'!$BH$6*('Frame Capacities'!$BJ$16)+'Frame Capacities'!$BC$16),(AND((W20&gt;'Frame Capacities'!$BP$16),(W20&lt;='Frame Capacities'!$BQ$16))),((W20-'Frame Capacities'!$BP$16)*'Frame Capacities'!$BH$6*('Frame Capacities'!$BK$16)+'Frame Capacities'!$BD$16),(AND((W20&gt;'Frame Capacities'!$BQ$16),(W20&lt;='Frame Capacities'!$BR$16))),((W20-'Frame Capacities'!$BQ$16)*'Frame Capacities'!$BH$6*('Frame Capacities'!$BL$16)+'Frame Capacities'!$BE$16))</f>
        <v>6.7329290059392966</v>
      </c>
      <c r="AF20" s="431">
        <f>_xlfn.IFS((W20&lt;='Infill Capacities'!$CW$16),(W20*'Infill Capacities'!$CR$16*'Infill Capacities'!$CQ$6),(AND((W20&gt;'Infill Capacities'!$CW$16),(W20&lt;='Infill Capacities'!$CX$16))),((W20-'Infill Capacities'!$CW$16)*'Infill Capacities'!$CQ$6*('Infill Capacities'!$CS$16)+'Infill Capacities'!$CM$16),(AND((W20&gt;'Infill Capacities'!$CX$16),(W20&lt;='Infill Capacities'!$CY$16))),((W20-'Infill Capacities'!$CX$16)*'Infill Capacities'!$CQ$6*('Infill Capacities'!$CT$16)+'Infill Capacities'!$CN$16),(AND((W20&gt;'Infill Capacities'!$CY$16),(W20&lt;='Infill Capacities'!$CZ$16))),((W20-'Infill Capacities'!$CY$16)*'Infill Capacities'!$CQ$6*('Infill Capacities'!$CU$16)+'Infill Capacities'!$CP$16))</f>
        <v>62.049741477969604</v>
      </c>
      <c r="AG20" s="325">
        <f>AE20/$C$18</f>
        <v>5.8888591888681896E-2</v>
      </c>
      <c r="AH20" s="445">
        <f>AF20/$D$18</f>
        <v>0.28663036528995567</v>
      </c>
      <c r="AI20" s="433">
        <f t="shared" si="24"/>
        <v>68.782670483908902</v>
      </c>
      <c r="AJ20" s="561">
        <f t="shared" ref="AJ20:AJ23" si="28">AD20-AI20</f>
        <v>1.3805014020817907E-6</v>
      </c>
      <c r="AK20" s="436">
        <f t="shared" si="25"/>
        <v>-3.9629589150945072E-8</v>
      </c>
      <c r="AL20" s="40"/>
    </row>
    <row r="21" spans="1:38" x14ac:dyDescent="0.25">
      <c r="A21" s="7"/>
      <c r="B21" s="351">
        <v>1</v>
      </c>
      <c r="C21" s="70">
        <f>'System Capacities'!N11</f>
        <v>247.23636363636362</v>
      </c>
      <c r="D21" s="70">
        <f>'System Capacities'!O11</f>
        <v>209.08800000000008</v>
      </c>
      <c r="E21" s="430">
        <f>'System Capacities'!P11</f>
        <v>291.03258784426777</v>
      </c>
      <c r="F21" s="325">
        <f>'System Capacities'!Q11</f>
        <v>1.7606502644787157E-3</v>
      </c>
      <c r="G21" s="70">
        <f>'System Capacities'!R11</f>
        <v>60108.491776306131</v>
      </c>
      <c r="H21" s="570"/>
      <c r="I21" s="562"/>
      <c r="J21" s="562"/>
      <c r="K21" s="562"/>
      <c r="L21" s="564"/>
      <c r="M21" s="562"/>
      <c r="N21" s="562"/>
      <c r="O21" s="562"/>
      <c r="P21" s="8"/>
      <c r="Q21" s="40"/>
      <c r="R21" s="71">
        <f>_xlfn.IFS(('System Capacities'!$N$22+'System Capacities'!$N$35=2),(ABS(AD8/$G$19)),('System Capacities'!$N$22+'System Capacities'!$N$35=3),((ABS(AD8-'System Capacities'!$D$60)/ABS($G$19))+('System Capacities'!$E$60*'System Capacities'!$D$9)),('System Capacities'!$N$22+'System Capacities'!$N$35=4),((ABS(ABS(AD8-AJ8)-'System Capacities'!$D$61)/ABS($G$19))+('System Capacities'!$E$61*'System Capacities'!$D$9)),('System Capacities'!$N$22+'System Capacities'!$N$35=5),((ABS(ABS(AD8-AJ8)-'System Capacities'!$D$62)/ABS($G$19))+('System Capacities'!$E$62*'System Capacities'!$D$9)),('System Capacities'!$N$22+'System Capacities'!$N$35=6),((ABS(ABS(AD8-AJ8)-'System Capacities'!$D$63)/ABS($G$19))+('System Capacities'!$E$63*'System Capacities'!$D$9)),('System Capacities'!$N$22+'System Capacities'!$N$35=7),((ABS(ABS(AD8-AJ8)-'System Capacities'!$D$64)/ABS($G$19))+('System Capacities'!$E$64*'System Capacities'!$D$9)),('System Capacities'!$N$22+'System Capacities'!$N$35=8),((ABS(ABS(AD8-AJ8)-'System Capacities'!$D$65)/ABS($G$19))+('System Capacities'!$E$65*'System Capacities'!$D$9)),('System Capacities'!$N$22+'System Capacities'!$N$35=9),((ABS(ABS(AD8-AJ8)-'System Capacities'!$D$66)/ABS($G$19))+('System Capacities'!$E$66*'System Capacities'!$D$9)),('System Capacities'!$N$22+'System Capacities'!$N$35=10),((ABS(ABS(AD8-AJ8)-'System Capacities'!$D$67)/ABS($G$19))+('System Capacities'!$E$67*'System Capacities'!$D$9)))</f>
        <v>1.8373068784992305E-3</v>
      </c>
      <c r="S21" s="444">
        <f t="shared" si="19"/>
        <v>5.4255424307229835E-3</v>
      </c>
      <c r="T21" s="40"/>
      <c r="U21" s="68">
        <v>3</v>
      </c>
      <c r="V21" s="70">
        <f t="shared" si="20"/>
        <v>8.75</v>
      </c>
      <c r="W21" s="71">
        <f t="shared" si="21"/>
        <v>6.1243562616641021E-4</v>
      </c>
      <c r="X21" s="428">
        <f t="shared" si="22"/>
        <v>5.4255424307229835E-3</v>
      </c>
      <c r="Y21" s="70">
        <f>'Structural Information'!$Z$9</f>
        <v>40.367000000000004</v>
      </c>
      <c r="Z21" s="70">
        <f t="shared" si="23"/>
        <v>0.2190128713009947</v>
      </c>
      <c r="AA21" s="70">
        <f>((Y21*X21)/(Z25)*$L$15)</f>
        <v>15.862511703464587</v>
      </c>
      <c r="AB21" s="70">
        <f>AD21-AD20+$O$18</f>
        <v>15.862506216632923</v>
      </c>
      <c r="AC21" s="70">
        <f t="shared" si="26"/>
        <v>84.645179461544629</v>
      </c>
      <c r="AD21" s="429">
        <f t="shared" si="27"/>
        <v>84.645178081043227</v>
      </c>
      <c r="AE21" s="430">
        <f>_xlfn.IFS((W21&lt;='Frame Capacities'!$BO$17),(W21*'Frame Capacities'!$BH$7*'Frame Capacities'!$BI$17),(AND((W21&gt;'Frame Capacities'!$BO$17),(W21&lt;='Frame Capacities'!$BP$17))),((W21-'Frame Capacities'!$BO$17)*'Frame Capacities'!$BH$7*('Frame Capacities'!$BJ$17)+'Frame Capacities'!$BC$17),(AND((W21&gt;'Frame Capacities'!$BP$17),(W21&lt;='Frame Capacities'!$BQ$17))),((W21-'Frame Capacities'!$BP$17)*'Frame Capacities'!$BH$7*('Frame Capacities'!$BK$17)+'Frame Capacities'!$BD$17),(AND((W21&gt;'Frame Capacities'!$BQ$17),(W21&lt;='Frame Capacities'!$BR$17))),((W21-'Frame Capacities'!$BQ$17)*'Frame Capacities'!$BH$7*('Frame Capacities'!$BL$17)+'Frame Capacities'!$BE$17))</f>
        <v>11.00388646473708</v>
      </c>
      <c r="AF21" s="431">
        <f>_xlfn.IFS((W21&lt;='Infill Capacities'!$CW$17),(W21*'Infill Capacities'!$CR$17*'Infill Capacities'!$CQ$7),(AND((W21&gt;'Infill Capacities'!$CW$17),(W21&lt;='Infill Capacities'!$CX$17))),((W21-'Infill Capacities'!$CW$17)*'Infill Capacities'!$CQ$7*('Infill Capacities'!$CS$17)+'Infill Capacities'!$CM$17),(AND((W21&gt;'Infill Capacities'!$CX$17),(W21&lt;='Infill Capacities'!$CY$17))),((W21-'Infill Capacities'!$CX$17)*'Infill Capacities'!$CQ$7*('Infill Capacities'!$CT$17)+'Infill Capacities'!$CN$17),(AND((W21&gt;'Infill Capacities'!$CY$17),(W21&lt;='Infill Capacities'!$CZ$17))),((W21-'Infill Capacities'!$CY$17)*'Infill Capacities'!$CQ$7*('Infill Capacities'!$CU$17)+'Infill Capacities'!$CP$17))</f>
        <v>73.641297011047101</v>
      </c>
      <c r="AG21" s="325">
        <f>AE21/$C$19</f>
        <v>7.1361131418528415E-2</v>
      </c>
      <c r="AH21" s="445">
        <f>AF21/$D$19</f>
        <v>0.34184351330885643</v>
      </c>
      <c r="AI21" s="433">
        <f t="shared" si="24"/>
        <v>84.645183475784179</v>
      </c>
      <c r="AJ21" s="561">
        <f t="shared" si="28"/>
        <v>-5.3947409526244883E-6</v>
      </c>
      <c r="AK21" s="436">
        <f t="shared" si="25"/>
        <v>-4.7424313777566239E-8</v>
      </c>
      <c r="AL21" s="40"/>
    </row>
    <row r="22" spans="1:38" x14ac:dyDescent="0.25">
      <c r="A22" s="7"/>
      <c r="B22" s="562"/>
      <c r="C22" s="562"/>
      <c r="D22" s="562"/>
      <c r="E22" s="562"/>
      <c r="F22" s="562"/>
      <c r="G22" s="562"/>
      <c r="H22" s="562"/>
      <c r="I22" s="562"/>
      <c r="J22" s="562"/>
      <c r="K22" s="562"/>
      <c r="L22" s="562"/>
      <c r="M22" s="562"/>
      <c r="N22" s="562"/>
      <c r="O22" s="562"/>
      <c r="P22" s="8"/>
      <c r="Q22" s="40"/>
      <c r="R22" s="71">
        <f>_xlfn.IFS(('System Capacities'!$N$23+'System Capacities'!$N$36=2),(ABS(AD9/$G$20)),('System Capacities'!$N$23+'System Capacities'!$N$36=3),((ABS(AD9-'System Capacities'!$H$60)/ABS($G$20))+('System Capacities'!$I$60*'System Capacities'!$D$10)),('System Capacities'!$N$23+'System Capacities'!$N$36=4),((ABS(ABS(AD9-AJ9)-'System Capacities'!$H$61)/ABS($G$20))+('System Capacities'!$I$61*'System Capacities'!$D$10)),('System Capacities'!$N$23+'System Capacities'!$N$36=5),((ABS(ABS(AD9-AJ9)-'System Capacities'!$H$62)/ABS($G$20))+('System Capacities'!$I$62*'System Capacities'!$D$10)),('System Capacities'!$N$23+'System Capacities'!$N$36=6),((ABS(ABS(AD9-AJ9)-'System Capacities'!$H$63)/ABS($G$20))+('System Capacities'!$I$63*'System Capacities'!$D$10)),('System Capacities'!$N$23+'System Capacities'!$N$36=7),((ABS(ABS(AD9-AJ9)-'System Capacities'!$H$64)/ABS($G$20))+('System Capacities'!$I$64*'System Capacities'!$D$10)),('System Capacities'!$N$23+'System Capacities'!$N$36=8),((ABS(ABS(AD9-AJ9)-'System Capacities'!$H$65)/ABS($G$20))+('System Capacities'!$I$65*'System Capacities'!$D$10)),('System Capacities'!$N$23+'System Capacities'!$N$36=9),((ABS(ABS(AD9-AJ9)-'System Capacities'!$H$66)/ABS($G$20))+('System Capacities'!$I$66*'System Capacities'!$D$10)),('System Capacities'!$N$23+'System Capacities'!$N$36=10),((ABS(ABS(AD9-AJ9)-'System Capacities'!$H$67)/ABS($G$20))+('System Capacities'!$I$67*'System Capacities'!$D$10)))</f>
        <v>1.9245770850829216E-3</v>
      </c>
      <c r="S22" s="444">
        <f>S23+R22</f>
        <v>3.5882355522237532E-3</v>
      </c>
      <c r="T22" s="40"/>
      <c r="U22" s="68">
        <v>2</v>
      </c>
      <c r="V22" s="70">
        <f t="shared" si="20"/>
        <v>5.75</v>
      </c>
      <c r="W22" s="71">
        <f>R22/(V22-V23)</f>
        <v>6.4152569502764058E-4</v>
      </c>
      <c r="X22" s="428">
        <f t="shared" si="22"/>
        <v>3.5882355522237532E-3</v>
      </c>
      <c r="Y22" s="70">
        <f>'Structural Information'!$Z$10</f>
        <v>40.367000000000004</v>
      </c>
      <c r="Z22" s="70">
        <f t="shared" si="23"/>
        <v>0.14484630453661626</v>
      </c>
      <c r="AA22" s="70">
        <f>((Y22*X22)/(Z25)*$L$15)</f>
        <v>10.490827261736539</v>
      </c>
      <c r="AB22" s="70">
        <f>AD22-AD21+$O$19</f>
        <v>10.490834036978896</v>
      </c>
      <c r="AC22" s="70">
        <f t="shared" si="26"/>
        <v>95.13600672328117</v>
      </c>
      <c r="AD22" s="429">
        <f t="shared" si="27"/>
        <v>95.136012118022123</v>
      </c>
      <c r="AE22" s="430">
        <f>_xlfn.IFS((W22&lt;='Frame Capacities'!$BO$18),(W22*'Frame Capacities'!$BH$8*'Frame Capacities'!$BI$18),(AND((W22&gt;'Frame Capacities'!$BO$18),(W22&lt;='Frame Capacities'!$BP$18))),((W22-'Frame Capacities'!$BO$18)*'Frame Capacities'!$BH$8*('Frame Capacities'!$BJ$18)+'Frame Capacities'!$BC$18),(AND((W22&gt;'Frame Capacities'!$BP$18),(W22&lt;='Frame Capacities'!$BQ$18))),((W22-'Frame Capacities'!$BP$18)*'Frame Capacities'!$BH$8*('Frame Capacities'!$BK$18)+'Frame Capacities'!$BD$18),(AND((W22&gt;'Frame Capacities'!$BQ$18),(W22&lt;='Frame Capacities'!$BR$18))),((W22-'Frame Capacities'!$BQ$18)*'Frame Capacities'!$BH$8*('Frame Capacities'!$BL$18)+'Frame Capacities'!$BE$18))</f>
        <v>15.448314814803176</v>
      </c>
      <c r="AF22" s="431">
        <f>_xlfn.IFS((W22&lt;='Infill Capacities'!$CW$18),(W22*'Infill Capacities'!$CR$18*'Infill Capacities'!$CQ$8),(AND((W22&gt;'Infill Capacities'!$CW$18),(W22&lt;='Infill Capacities'!$CX$18))),((W22-'Infill Capacities'!$CW$18)*'Infill Capacities'!$CQ$8*('Infill Capacities'!$CS$18)+'Infill Capacities'!$CM$18),(AND((W22&gt;'Infill Capacities'!$CX$18),(W22&lt;='Infill Capacities'!$CY$18))),((W22-'Infill Capacities'!$CX$18)*'Infill Capacities'!$CQ$8*('Infill Capacities'!$CT$18)+'Infill Capacities'!$CN$18),(AND((W22&gt;'Infill Capacities'!$CY$18),(W22&lt;='Infill Capacities'!$CZ$18))),((W22-'Infill Capacities'!$CY$18)*'Infill Capacities'!$CQ$8*('Infill Capacities'!$CU$18)+'Infill Capacities'!$CP$18))</f>
        <v>79.687692204837347</v>
      </c>
      <c r="AG22" s="325">
        <f>AE22/$C$20</f>
        <v>9.5008086191901459E-2</v>
      </c>
      <c r="AH22" s="445">
        <f>AF22/$D$20</f>
        <v>0.36991093009524162</v>
      </c>
      <c r="AI22" s="433">
        <f t="shared" si="24"/>
        <v>95.136007019640516</v>
      </c>
      <c r="AJ22" s="561">
        <f t="shared" si="28"/>
        <v>5.0983816066718646E-6</v>
      </c>
      <c r="AK22" s="436">
        <f t="shared" si="25"/>
        <v>-3.115112312992429E-9</v>
      </c>
      <c r="AL22" s="40"/>
    </row>
    <row r="23" spans="1:38" ht="16.5" thickBot="1" x14ac:dyDescent="0.3">
      <c r="A23" s="7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2"/>
      <c r="P23" s="8"/>
      <c r="Q23" s="40"/>
      <c r="R23" s="71">
        <f>_xlfn.IFS(('System Capacities'!$N$24+'System Capacities'!$N$37=2),(AD10/$G$21),('System Capacities'!$N$24+'System Capacities'!$N$37=3),((ABS(AD10-'System Capacities'!$L$60)/ABS($G$21))+('System Capacities'!$M$60*'System Capacities'!$D$11)),('System Capacities'!$N$24+'System Capacities'!$N$37=4),((ABS(ABS(AD10-AJ10)-'System Capacities'!$L$61)/ABS($G$21))+('System Capacities'!$M$61*'System Capacities'!$D$11)),('System Capacities'!$N$24+'System Capacities'!$N$37=5),((ABS(ABS(AD10-AJ10)-'System Capacities'!$L$62)/ABS($G$21))+('System Capacities'!$M$62*'System Capacities'!$D$11)),('System Capacities'!$N$24+'System Capacities'!$N$37=6),((ABS(ABS(AD10-AJ10)-'System Capacities'!$L$63)/ABS($G$21))+('System Capacities'!$M$63*'System Capacities'!$D$11)),('System Capacities'!$N$24+'System Capacities'!$N$37=7),((ABS(ABS(AD10-AJ10)-'System Capacities'!$L$64)/ABS($G$21))+('System Capacities'!$M$64*'System Capacities'!$D$11)),('System Capacities'!$N$24+'System Capacities'!$N$37=8),((ABS(ABS(AD10-AJ10)-'System Capacities'!$L$65)/ABS($G$21))+('System Capacities'!$M$65*'System Capacities'!$D$11)),('System Capacities'!$N$24+'System Capacities'!$N$37=9),((ABS(ABS(AD10-AJ10)-'System Capacities'!$L$66)/ABS($G$21))+('System Capacities'!$M$66*'System Capacities'!$D$11)),('System Capacities'!$N$24+'System Capacities'!$N$37=10),((ABS(ABS(AD10-AJ10)-'System Capacities'!$L$67)/ABS($G$21))+('System Capacities'!$M$67*'System Capacities'!$D$11)))</f>
        <v>1.6636584671408318E-3</v>
      </c>
      <c r="S23" s="444">
        <f t="shared" si="19"/>
        <v>1.6636584671408318E-3</v>
      </c>
      <c r="T23" s="40"/>
      <c r="U23" s="68">
        <v>1</v>
      </c>
      <c r="V23" s="70">
        <f t="shared" si="20"/>
        <v>2.75</v>
      </c>
      <c r="W23" s="71">
        <f t="shared" si="21"/>
        <v>6.0496671532393883E-4</v>
      </c>
      <c r="X23" s="428">
        <f t="shared" si="22"/>
        <v>1.6636584671408318E-3</v>
      </c>
      <c r="Y23" s="70">
        <f>'Structural Information'!$Z$11</f>
        <v>40.367000000000004</v>
      </c>
      <c r="Z23" s="70">
        <f t="shared" si="23"/>
        <v>6.7156901343073963E-2</v>
      </c>
      <c r="AA23" s="70">
        <f>((Y23*X23)/(Z25)*$L$15)</f>
        <v>4.8639932767188432</v>
      </c>
      <c r="AB23" s="70">
        <f>AD23-AD22+$O$20</f>
        <v>4.8639827835962848</v>
      </c>
      <c r="AC23" s="70">
        <f t="shared" si="26"/>
        <v>100.00000000000001</v>
      </c>
      <c r="AD23" s="429">
        <f t="shared" si="27"/>
        <v>99.999994901618408</v>
      </c>
      <c r="AE23" s="430">
        <f>_xlfn.IFS((W23&lt;='Frame Capacities'!$BO$19),(W23*'Frame Capacities'!$BH$9*'Frame Capacities'!$BI$19),(AND((W23&gt;'Frame Capacities'!$BO$19),(W23&lt;='Frame Capacities'!$BP$19))),((W23-'Frame Capacities'!$BO$19)*'Frame Capacities'!$BH$9*('Frame Capacities'!$BJ$19)+'Frame Capacities'!$BC$19),(AND((W23&gt;'Frame Capacities'!$BP$19),(W23&lt;='Frame Capacities'!$BQ$19))),((W23-'Frame Capacities'!$BP$19)*'Frame Capacities'!$BH$9*('Frame Capacities'!$BK$19)+'Frame Capacities'!$BD$19),(AND((W23&gt;'Frame Capacities'!$BQ$19),(W23&lt;='Frame Capacities'!$BR$19))),((W23-'Frame Capacities'!$BQ$19)*'Frame Capacities'!$BH$9*('Frame Capacities'!$BL$19)+'Frame Capacities'!$BE$19))</f>
        <v>28.156499417786495</v>
      </c>
      <c r="AF23" s="431">
        <f>_xlfn.IFS((W23&lt;='Infill Capacities'!$CW$19),(W23*'Infill Capacities'!$CR$19*'Infill Capacities'!$CQ$9),(AND((W23&gt;'Infill Capacities'!$CW$19),(W23&lt;='Infill Capacities'!$CX$19))),((W23-'Infill Capacities'!$CW$19)*'Infill Capacities'!$CQ$9*('Infill Capacities'!$CS$19)+'Infill Capacities'!$CM$19),(AND((W23&gt;'Infill Capacities'!$CX$19),(W23&lt;='Infill Capacities'!$CY$19))),((W23-'Infill Capacities'!$CX$19)*'Infill Capacities'!$CQ$9*('Infill Capacities'!$CT$19)+'Infill Capacities'!$CN$19),(AND((W23&gt;'Infill Capacities'!$CY$19),(W23&lt;='Infill Capacities'!$CZ$19))),((W23-'Infill Capacities'!$CY$19)*'Infill Capacities'!$CQ$9*('Infill Capacities'!$CU$19)+'Infill Capacities'!$CP$19))</f>
        <v>71.843501872930261</v>
      </c>
      <c r="AG23" s="325">
        <f>AE23/$C$21</f>
        <v>0.11388494396074844</v>
      </c>
      <c r="AH23" s="445">
        <f>AF23/$D$21</f>
        <v>0.34360413736288181</v>
      </c>
      <c r="AI23" s="433">
        <f t="shared" si="24"/>
        <v>100.00000129071675</v>
      </c>
      <c r="AJ23" s="561">
        <f t="shared" si="28"/>
        <v>-6.3890983454939487E-6</v>
      </c>
      <c r="AK23" s="436">
        <f t="shared" si="25"/>
        <v>-1.290716738822084E-8</v>
      </c>
      <c r="AL23" s="40"/>
    </row>
    <row r="24" spans="1:38" ht="16.5" thickBot="1" x14ac:dyDescent="0.3">
      <c r="A24" s="7"/>
      <c r="B24" s="916" t="s">
        <v>344</v>
      </c>
      <c r="C24" s="917"/>
      <c r="D24" s="918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2"/>
      <c r="P24" s="8"/>
      <c r="Q24" s="40"/>
      <c r="R24" s="71">
        <v>0</v>
      </c>
      <c r="S24" s="444">
        <f>R24</f>
        <v>0</v>
      </c>
      <c r="T24" s="40"/>
      <c r="U24" s="68">
        <v>0</v>
      </c>
      <c r="V24" s="70">
        <f t="shared" si="20"/>
        <v>0</v>
      </c>
      <c r="W24" s="446" t="s">
        <v>83</v>
      </c>
      <c r="X24" s="428">
        <f t="shared" si="22"/>
        <v>0</v>
      </c>
      <c r="Y24" s="70" t="str">
        <f>E11</f>
        <v>-</v>
      </c>
      <c r="Z24" s="70">
        <v>0</v>
      </c>
      <c r="AA24" s="70" t="s">
        <v>83</v>
      </c>
      <c r="AB24" s="70"/>
      <c r="AC24" s="440" t="s">
        <v>83</v>
      </c>
      <c r="AD24" s="440"/>
      <c r="AE24" s="430" t="s">
        <v>83</v>
      </c>
      <c r="AF24" s="430" t="s">
        <v>83</v>
      </c>
      <c r="AG24" s="327" t="s">
        <v>83</v>
      </c>
      <c r="AH24" s="430" t="s">
        <v>83</v>
      </c>
      <c r="AI24" s="438" t="s">
        <v>83</v>
      </c>
      <c r="AJ24" s="438" t="s">
        <v>83</v>
      </c>
      <c r="AK24" s="40"/>
      <c r="AL24" s="40"/>
    </row>
    <row r="25" spans="1:38" ht="16.5" thickBot="1" x14ac:dyDescent="0.3">
      <c r="A25" s="7"/>
      <c r="B25" s="447" t="s">
        <v>343</v>
      </c>
      <c r="C25" s="448">
        <v>3</v>
      </c>
      <c r="D25" s="449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8"/>
      <c r="Q25" s="40"/>
      <c r="R25" s="40"/>
      <c r="S25" s="40"/>
      <c r="T25" s="40"/>
      <c r="U25" s="40"/>
      <c r="V25" s="40"/>
      <c r="W25" s="40"/>
      <c r="X25" s="40"/>
      <c r="Y25" s="351" t="s">
        <v>95</v>
      </c>
      <c r="Z25" s="450">
        <f>SUM(Z18:Z24)</f>
        <v>1.380694781477509</v>
      </c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</row>
    <row r="26" spans="1:38" x14ac:dyDescent="0.25">
      <c r="A26" s="7"/>
      <c r="B26" s="914" t="s">
        <v>341</v>
      </c>
      <c r="C26" s="915"/>
      <c r="D26" s="451">
        <v>1</v>
      </c>
      <c r="E26" s="562"/>
      <c r="F26" s="562"/>
      <c r="G26" s="562"/>
      <c r="H26" s="562"/>
      <c r="I26" s="562"/>
      <c r="J26" s="562"/>
      <c r="K26" s="562"/>
      <c r="L26" s="562"/>
      <c r="M26" s="562"/>
      <c r="N26" s="562"/>
      <c r="O26" s="562"/>
      <c r="P26" s="8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</row>
    <row r="27" spans="1:38" ht="16.5" thickBot="1" x14ac:dyDescent="0.3">
      <c r="A27" s="7"/>
      <c r="B27" s="914" t="s">
        <v>342</v>
      </c>
      <c r="C27" s="915"/>
      <c r="D27" s="452">
        <v>2</v>
      </c>
      <c r="E27" s="562"/>
      <c r="F27" s="562"/>
      <c r="G27" s="562"/>
      <c r="H27" s="562"/>
      <c r="I27" s="562"/>
      <c r="J27" s="562"/>
      <c r="K27" s="562"/>
      <c r="L27" s="562"/>
      <c r="M27" s="562"/>
      <c r="N27" s="562"/>
      <c r="O27" s="562"/>
      <c r="P27" s="8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</row>
    <row r="28" spans="1:38" ht="16.5" thickBot="1" x14ac:dyDescent="0.3">
      <c r="A28" s="7"/>
      <c r="B28" s="912" t="s">
        <v>360</v>
      </c>
      <c r="C28" s="913"/>
      <c r="D28" s="453">
        <v>3</v>
      </c>
      <c r="E28" s="562"/>
      <c r="F28" s="562"/>
      <c r="G28" s="562"/>
      <c r="H28" s="562"/>
      <c r="I28" s="562"/>
      <c r="J28" s="562"/>
      <c r="K28" s="562"/>
      <c r="L28" s="562"/>
      <c r="M28" s="562"/>
      <c r="N28" s="562"/>
      <c r="O28" s="562"/>
      <c r="P28" s="8"/>
      <c r="Q28" s="40"/>
      <c r="R28" s="885" t="s">
        <v>273</v>
      </c>
      <c r="S28" s="887"/>
      <c r="T28" s="4"/>
      <c r="U28" s="885" t="s">
        <v>273</v>
      </c>
      <c r="V28" s="886"/>
      <c r="W28" s="886"/>
      <c r="X28" s="886"/>
      <c r="Y28" s="886"/>
      <c r="Z28" s="886"/>
      <c r="AA28" s="886"/>
      <c r="AB28" s="886"/>
      <c r="AC28" s="886"/>
      <c r="AD28" s="886"/>
      <c r="AE28" s="886"/>
      <c r="AF28" s="886"/>
      <c r="AG28" s="886"/>
      <c r="AH28" s="886"/>
      <c r="AI28" s="886"/>
      <c r="AJ28" s="887"/>
      <c r="AK28" s="40"/>
      <c r="AL28" s="40"/>
    </row>
    <row r="29" spans="1:38" ht="16.5" thickBot="1" x14ac:dyDescent="0.3">
      <c r="A29" s="7"/>
      <c r="B29" s="562"/>
      <c r="C29" s="562"/>
      <c r="D29" s="566"/>
      <c r="E29" s="562"/>
      <c r="F29" s="562"/>
      <c r="G29" s="562"/>
      <c r="H29" s="562"/>
      <c r="I29" s="562"/>
      <c r="J29" s="562"/>
      <c r="K29" s="562"/>
      <c r="L29" s="562"/>
      <c r="M29" s="562"/>
      <c r="N29" s="562"/>
      <c r="O29" s="562"/>
      <c r="P29" s="8"/>
      <c r="Q29" s="40"/>
      <c r="R29" s="633" t="s">
        <v>98</v>
      </c>
      <c r="S29" s="587" t="s">
        <v>97</v>
      </c>
      <c r="T29" s="40"/>
      <c r="U29" s="587" t="s">
        <v>0</v>
      </c>
      <c r="V29" s="587" t="s">
        <v>89</v>
      </c>
      <c r="W29" s="587" t="s">
        <v>119</v>
      </c>
      <c r="X29" s="633" t="s">
        <v>91</v>
      </c>
      <c r="Y29" s="587" t="s">
        <v>93</v>
      </c>
      <c r="Z29" s="587" t="s">
        <v>94</v>
      </c>
      <c r="AA29" s="590" t="s">
        <v>461</v>
      </c>
      <c r="AB29" s="590" t="s">
        <v>462</v>
      </c>
      <c r="AC29" s="590" t="s">
        <v>463</v>
      </c>
      <c r="AD29" s="590" t="s">
        <v>464</v>
      </c>
      <c r="AE29" s="894" t="s">
        <v>208</v>
      </c>
      <c r="AF29" s="894" t="s">
        <v>207</v>
      </c>
      <c r="AG29" s="894" t="s">
        <v>209</v>
      </c>
      <c r="AH29" s="894" t="s">
        <v>210</v>
      </c>
      <c r="AI29" s="903" t="s">
        <v>394</v>
      </c>
      <c r="AJ29" s="875" t="s">
        <v>456</v>
      </c>
      <c r="AK29" s="895" t="s">
        <v>267</v>
      </c>
      <c r="AL29" s="40"/>
    </row>
    <row r="30" spans="1:38" ht="16.5" thickBot="1" x14ac:dyDescent="0.3">
      <c r="A30" s="7"/>
      <c r="B30" s="910" t="s">
        <v>361</v>
      </c>
      <c r="C30" s="911"/>
      <c r="D30" s="562"/>
      <c r="E30" s="562"/>
      <c r="F30" s="562"/>
      <c r="G30" s="562"/>
      <c r="H30" s="562"/>
      <c r="I30" s="562"/>
      <c r="J30" s="562"/>
      <c r="K30" s="562"/>
      <c r="L30" s="562"/>
      <c r="M30" s="562"/>
      <c r="N30" s="562"/>
      <c r="O30" s="562"/>
      <c r="P30" s="8"/>
      <c r="Q30" s="40"/>
      <c r="R30" s="590"/>
      <c r="S30" s="588"/>
      <c r="T30" s="40"/>
      <c r="U30" s="588"/>
      <c r="V30" s="588"/>
      <c r="W30" s="588"/>
      <c r="X30" s="590"/>
      <c r="Y30" s="588"/>
      <c r="Z30" s="588"/>
      <c r="AA30" s="590"/>
      <c r="AB30" s="590"/>
      <c r="AC30" s="590"/>
      <c r="AD30" s="590"/>
      <c r="AE30" s="633"/>
      <c r="AF30" s="633"/>
      <c r="AG30" s="633"/>
      <c r="AH30" s="633"/>
      <c r="AI30" s="898"/>
      <c r="AJ30" s="875"/>
      <c r="AK30" s="895"/>
      <c r="AL30" s="40"/>
    </row>
    <row r="31" spans="1:38" ht="16.5" thickBot="1" x14ac:dyDescent="0.3">
      <c r="A31" s="7"/>
      <c r="B31" s="559" t="s">
        <v>359</v>
      </c>
      <c r="C31" s="560">
        <v>5.0000000000000002E-5</v>
      </c>
      <c r="D31" s="562"/>
      <c r="E31" s="562"/>
      <c r="F31" s="562"/>
      <c r="G31" s="562"/>
      <c r="H31" s="562"/>
      <c r="I31" s="562"/>
      <c r="J31" s="562"/>
      <c r="K31" s="562"/>
      <c r="L31" s="562"/>
      <c r="M31" s="562"/>
      <c r="N31" s="562"/>
      <c r="O31" s="562"/>
      <c r="P31" s="8"/>
      <c r="Q31" s="40"/>
      <c r="R31" s="71">
        <f>_xlfn.IFS(('System Capacities'!$N$19+'System Capacities'!$N$32=2),(ABS(AD18/$G$16)),('System Capacities'!$N$19+'System Capacities'!$N$32=3),((ABS(AD18-'System Capacities'!$D$47)/ABS($G$16))+('System Capacities'!$E$47*'System Capacities'!$D$6)),('System Capacities'!$N$19+'System Capacities'!$N$32=4),((ABS(ABS(AD18-AJ18)-'System Capacities'!$D$48)/ABS($G$16))+('System Capacities'!$E$48*'System Capacities'!$D$6)),('System Capacities'!$N$19+'System Capacities'!$N$32=5),((ABS(ABS(AD18-AJ18)-'System Capacities'!$D$49)/ABS($G$16))+('System Capacities'!$E$49*'System Capacities'!$D$6)),('System Capacities'!$N$19+'System Capacities'!$N$32=6),((ABS(ABS(AD18-AJ18)-'System Capacities'!$D$50)/ABS($G$16))+('System Capacities'!$E$50*'System Capacities'!$D$6)),('System Capacities'!$N$19+'System Capacities'!$N$32=7),((ABS(ABS(AD18-AJ18)-'System Capacities'!$D$51)/ABS($G$16))+('System Capacities'!$E$51*'System Capacities'!$D$6)),('System Capacities'!$N$19+'System Capacities'!$N$32=8),((ABS(ABS(AD18-AJ18)-'System Capacities'!$D$52)/ABS($G$16))+('System Capacities'!$E$52*'System Capacities'!$D$6)),('System Capacities'!$N$19+'System Capacities'!$N$32=9),((ABS(ABS(AD18-AJ18)-'System Capacities'!$D$53)/ABS($G$16))+('System Capacities'!$E$53*'System Capacities'!$D$6)),('System Capacities'!$N$19+'System Capacities'!$N$32=8),((ABS(ABS(AD18-AJ18)-'System Capacities'!$D$54)/ABS($G$16))+('System Capacities'!$E$54*'System Capacities'!$D$6)))</f>
        <v>6.7920839510298282E-4</v>
      </c>
      <c r="S31" s="444">
        <f t="shared" ref="S31:S36" si="29">S32+R31</f>
        <v>8.8706731785676302E-3</v>
      </c>
      <c r="T31" s="40"/>
      <c r="U31" s="68">
        <v>6</v>
      </c>
      <c r="V31" s="70">
        <f t="shared" ref="V31:V37" si="30">V5</f>
        <v>17.75</v>
      </c>
      <c r="W31" s="71">
        <f t="shared" ref="W31:W36" si="31">R31/(V31-V32)</f>
        <v>2.2640279836766094E-4</v>
      </c>
      <c r="X31" s="428">
        <f t="shared" ref="X31:X37" si="32">S31</f>
        <v>8.8706731785676302E-3</v>
      </c>
      <c r="Y31" s="70">
        <f>'Structural Information'!$Z$6</f>
        <v>37.8446</v>
      </c>
      <c r="Z31" s="70">
        <f t="shared" ref="Z31:Z36" si="33">Y31*X31</f>
        <v>0.33570707817362055</v>
      </c>
      <c r="AA31" s="70">
        <f>((Y31*X31)/(Z38)*$L$15)</f>
        <v>24.314358935208119</v>
      </c>
      <c r="AB31" s="70">
        <f>AD31+$O$15</f>
        <v>24.314358935208119</v>
      </c>
      <c r="AC31" s="70">
        <f>AA31</f>
        <v>24.314358935208119</v>
      </c>
      <c r="AD31" s="429">
        <f>AC31-$O$12</f>
        <v>24.314358935208119</v>
      </c>
      <c r="AE31" s="430">
        <f>_xlfn.IFS((W31&lt;='Frame Capacities'!$BO$14),(W31*'Frame Capacities'!$BH$4*'Frame Capacities'!$BI$14),(AND((W31&gt;'Frame Capacities'!$BO$14),(W31&lt;='Frame Capacities'!$BP$14))),((W31-'Frame Capacities'!$BO$14)*'Frame Capacities'!$BH$4*('Frame Capacities'!$BJ$14)+'Frame Capacities'!$BC$14),(AND((W31&gt;'Frame Capacities'!$BP$14),(W31&lt;='Frame Capacities'!$BQ$14))),((W31-'Frame Capacities'!$BP$14)*'Frame Capacities'!$BH$4*('Frame Capacities'!$BK$14)+'Frame Capacities'!$BD$14),(AND((W31&gt;'Frame Capacities'!$BQ$14),(W31&lt;='Frame Capacities'!$BR$14))),((W31-'Frame Capacities'!$BQ$14)*'Frame Capacities'!$BH$4*('Frame Capacities'!$BL$14)+'Frame Capacities'!$BE$14))</f>
        <v>2.4223968431782112</v>
      </c>
      <c r="AF31" s="431">
        <f>_xlfn.IFS((W31&lt;='Infill Capacities'!$CW$14),(W31*'Infill Capacities'!$CR$14*'Infill Capacities'!$CQ$4),(AND((W31&gt;'Infill Capacities'!$CW$14),(W31&lt;='Infill Capacities'!$CX$14))),((W31-'Infill Capacities'!$CW$14)*'Infill Capacities'!$CQ$4*('Infill Capacities'!$CS$14)+'Infill Capacities'!$CM$14),(AND((W31&gt;'Infill Capacities'!$CX$14),(W31&lt;='Infill Capacities'!$CY$14))),((W31-'Infill Capacities'!$CX$14)*'Infill Capacities'!$CQ$4*('Infill Capacities'!$CT$14)+'Infill Capacities'!$CN$14),(AND((W31&gt;'Infill Capacities'!$CY$14),(W31&lt;='Infill Capacities'!$CZ$14))),((W31-'Infill Capacities'!$CY$14)*'Infill Capacities'!$CQ$4*('Infill Capacities'!$CU$14)+'Infill Capacities'!$CP$14))</f>
        <v>21.891962144233812</v>
      </c>
      <c r="AG31" s="71">
        <f>AE31/$C$16</f>
        <v>2.7238345313098326E-2</v>
      </c>
      <c r="AH31" s="435">
        <f>AF31/$D$16</f>
        <v>0.10112695003803497</v>
      </c>
      <c r="AI31" s="433">
        <f t="shared" ref="AI31:AI36" si="34">AE31+AF31</f>
        <v>24.314358987412025</v>
      </c>
      <c r="AJ31" s="561">
        <f>AD31-AI31</f>
        <v>-5.2203905198666689E-8</v>
      </c>
      <c r="AK31" s="436">
        <f t="shared" ref="AK31:AK36" si="35">(AC31-(AI31))/AC31</f>
        <v>-2.1470401641177323E-9</v>
      </c>
      <c r="AL31" s="40"/>
    </row>
    <row r="32" spans="1:38" ht="16.5" thickBot="1" x14ac:dyDescent="0.3">
      <c r="A32" s="7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2"/>
      <c r="P32" s="8"/>
      <c r="Q32" s="40"/>
      <c r="R32" s="71">
        <f>_xlfn.IFS(('System Capacities'!$N$20+'System Capacities'!$N$33=2),(ABS(AD19/$G$17)),('System Capacities'!$N$20+'System Capacities'!$N$33=3),((ABS(AD19-'System Capacities'!$H$47)/ABS($G$17))+('System Capacities'!$I$47*'System Capacities'!$D$7)),('System Capacities'!$N$20+'System Capacities'!$N$33=4),((ABS(ABS(AD19-AJ19)-'System Capacities'!$H$48)/ABS($G$17))+('System Capacities'!$I$48*'System Capacities'!$D$7)),('System Capacities'!$N$20+'System Capacities'!$N$33=5),((ABS(ABS(AD19-AJ19)-'System Capacities'!H$49)/ABS($G$17))+('System Capacities'!$I$49*'System Capacities'!$D$7)),('System Capacities'!$N$20+'System Capacities'!$N$33=6),((ABS(ABS(AD19-AJ19)-'System Capacities'!$H$50)/ABS($G$17))+('System Capacities'!$I$50*'System Capacities'!$D$7)),('System Capacities'!$N$20+'System Capacities'!$N$33=7),((ABS(ABS(AD19-AJ19)-'System Capacities'!$H$51)/ABS($G$17))+('System Capacities'!$I$51*'System Capacities'!$D$7)),('System Capacities'!N46+'System Capacities'!$N$33=8),((ABS(ABS(AD19-AJ19)-'System Capacities'!$H$52)/ABS($G$17))+('System Capacities'!$I$52*'System Capacities'!$D$7)),('System Capacities'!N46+'System Capacities'!$N$33=9),((ABS(ABS(AD19-AJ19)-'System Capacities'!$H$53)/ABS($G$17))+('System Capacities'!$I$53*'System Capacities'!$D$7)),('System Capacities'!N46+'System Capacities'!$N$33=10),((ABS(ABS(AD19-AJ19)-'System Capacities'!$H$54)/ABS($G$17))+('System Capacities'!$I$54*'System Capacities'!$D$7)))</f>
        <v>1.1731887526250883E-3</v>
      </c>
      <c r="S32" s="444">
        <f t="shared" si="29"/>
        <v>8.1914647834646481E-3</v>
      </c>
      <c r="T32" s="40"/>
      <c r="U32" s="68">
        <v>5</v>
      </c>
      <c r="V32" s="70">
        <f t="shared" si="30"/>
        <v>14.75</v>
      </c>
      <c r="W32" s="71">
        <f t="shared" si="31"/>
        <v>3.9106291754169607E-4</v>
      </c>
      <c r="X32" s="428">
        <f t="shared" si="32"/>
        <v>8.1914647834646481E-3</v>
      </c>
      <c r="Y32" s="70">
        <f>'Structural Information'!$Z$7</f>
        <v>40.367000000000004</v>
      </c>
      <c r="Z32" s="70">
        <f t="shared" si="33"/>
        <v>0.33066485891411751</v>
      </c>
      <c r="AA32" s="70">
        <f>((Y32*X32)/(Z38)*$L$15)</f>
        <v>23.949164583118318</v>
      </c>
      <c r="AB32" s="70">
        <f>AD32-AD31+$O$16</f>
        <v>23.949164635322219</v>
      </c>
      <c r="AC32" s="70">
        <f>AC31+AA32</f>
        <v>48.263523518326437</v>
      </c>
      <c r="AD32" s="429">
        <f>AC32-AJ31-$O$13</f>
        <v>48.263523570530339</v>
      </c>
      <c r="AE32" s="430">
        <f>_xlfn.IFS((W32&lt;='Frame Capacities'!$BO$15),(W32*'Frame Capacities'!$BH$5*'Frame Capacities'!$BI$15),(AND((W32&gt;'Frame Capacities'!$BO$15),(W32&lt;='Frame Capacities'!$BP$15))),((W32-'Frame Capacities'!$BO$15)*'Frame Capacities'!$BH$5*('Frame Capacities'!$BJ$15)+'Frame Capacities'!$BC$15),(AND((W32&gt;'Frame Capacities'!$BP$15),(W32&lt;='Frame Capacities'!$BQ$15))),((W32-'Frame Capacities'!$BP$15)*'Frame Capacities'!$BH$5*('Frame Capacities'!$BK$15)+'Frame Capacities'!$BD$15),(AND((W32&gt;'Frame Capacities'!$BQ$15),(W32&lt;='Frame Capacities'!$BR$15))),((W32-'Frame Capacities'!$BQ$15)*'Frame Capacities'!$BH$5*('Frame Capacities'!$BL$15)+'Frame Capacities'!$BE$15))</f>
        <v>4.2538726964400535</v>
      </c>
      <c r="AF32" s="431">
        <f>_xlfn.IFS((W32&lt;='Infill Capacities'!$CW$15),(W32*'Infill Capacities'!$CR$15*'Infill Capacities'!$CQ$5),(AND((W32&gt;'Infill Capacities'!$CW$15),(W32&lt;='Infill Capacities'!$CX$15))),((W32-'Infill Capacities'!$CW$15)*'Infill Capacities'!$CQ$5*('Infill Capacities'!$CS$15)+'Infill Capacities'!$CM$15),(AND((W32&gt;'Infill Capacities'!$CX$15),(W32&lt;='Infill Capacities'!$CY$15))),((W32-'Infill Capacities'!$CX$15)*'Infill Capacities'!$CQ$5*('Infill Capacities'!$CT$15)+'Infill Capacities'!$CN$15),(AND((W32&gt;'Infill Capacities'!$CY$15),(W32&lt;='Infill Capacities'!$CZ$15))),((W32-'Infill Capacities'!$CY$15)*'Infill Capacities'!$CQ$5*('Infill Capacities'!$CU$15)+'Infill Capacities'!$CP$15))</f>
        <v>44.009651314525556</v>
      </c>
      <c r="AG32" s="71">
        <f>AE32/$C$17</f>
        <v>4.0745907054023506E-2</v>
      </c>
      <c r="AH32" s="435">
        <f>AF32/$D$17</f>
        <v>0.20329661545882091</v>
      </c>
      <c r="AI32" s="433">
        <f t="shared" si="34"/>
        <v>48.263524010965611</v>
      </c>
      <c r="AJ32" s="561">
        <f>AD32-AI32</f>
        <v>-4.4043527225312573E-7</v>
      </c>
      <c r="AK32" s="436">
        <f t="shared" si="35"/>
        <v>-1.0207277421674689E-8</v>
      </c>
      <c r="AL32" s="40"/>
    </row>
    <row r="33" spans="1:38" ht="16.5" thickBot="1" x14ac:dyDescent="0.3">
      <c r="A33" s="7"/>
      <c r="B33" s="908" t="s">
        <v>362</v>
      </c>
      <c r="C33" s="909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2"/>
      <c r="P33" s="8"/>
      <c r="Q33" s="40"/>
      <c r="R33" s="71">
        <f>_xlfn.IFS(('System Capacities'!$N$21+'System Capacities'!$N$34=2),(ABS(AD20/$G$18)),('System Capacities'!$N$21+'System Capacities'!$N$34=3),((ABS(AD20-'System Capacities'!$L$47)/ABS($G$18))+('System Capacities'!$M$47*'System Capacities'!$D$8)),('System Capacities'!$N$21+'System Capacities'!$N$34=4),((ABS(ABS(AD20-AJ20)-'System Capacities'!$L$48)/ABS($G$18))+('System Capacities'!$M$48*'System Capacities'!$D$8)),('System Capacities'!$N$21+'System Capacities'!$N$34=5),((ABS(ABS(AD20-AJ20)-'System Capacities'!$L$49)/ABS($G$18))+('System Capacities'!$M$49*'System Capacities'!$D$8)),('System Capacities'!$N$21+'System Capacities'!$N$34=6),((ABS(ABS(AD20-AJ20)-'System Capacities'!$L$50)/ABS($G$18))+('System Capacities'!$M$50*'System Capacities'!$D$8)),('System Capacities'!$N$21+'System Capacities'!$N$34=7),((ABS(ABS(AD20-AJ20)-'System Capacities'!$L$51)/ABS($G$18))+('System Capacities'!$M$51*'System Capacities'!$D$8)),('System Capacities'!$N$21+'System Capacities'!$N$34=8),((ABS(ABS(AD20-AJ20)-'System Capacities'!$L$52)/ABS($G$18))+('System Capacities'!$M$52*'System Capacities'!$D$8)),('System Capacities'!$N$21+'System Capacities'!$N$34=9),((ABS(ABS(AD20-AJ20)-'System Capacities'!$L$53)/ABS($G$18))+('System Capacities'!$M$53*'System Capacities'!$D$8)),('System Capacities'!$N$21+'System Capacities'!$N$34=10),((ABS(ABS(AD20-AJ20)-'System Capacities'!$L$54)/ABS($G$18))+('System Capacities'!$M$54*'System Capacities'!$D$8)))</f>
        <v>1.5927337203685483E-3</v>
      </c>
      <c r="S33" s="444">
        <f t="shared" si="29"/>
        <v>7.0182760308395604E-3</v>
      </c>
      <c r="T33" s="40"/>
      <c r="U33" s="68">
        <v>4</v>
      </c>
      <c r="V33" s="70">
        <f t="shared" si="30"/>
        <v>11.75</v>
      </c>
      <c r="W33" s="71">
        <f t="shared" si="31"/>
        <v>5.3091124012284946E-4</v>
      </c>
      <c r="X33" s="428">
        <f t="shared" si="32"/>
        <v>7.0182760308395604E-3</v>
      </c>
      <c r="Y33" s="70">
        <f>'Structural Information'!$Z$8</f>
        <v>40.367000000000004</v>
      </c>
      <c r="Z33" s="70">
        <f t="shared" si="33"/>
        <v>0.28330674853690058</v>
      </c>
      <c r="AA33" s="70">
        <f>((Y33*X33)/(Z38)*$L$15)</f>
        <v>20.519144279497151</v>
      </c>
      <c r="AB33" s="70">
        <f>AD33-AD32+$O$17</f>
        <v>20.519144667728526</v>
      </c>
      <c r="AC33" s="70">
        <f t="shared" ref="AC33:AC36" si="36">AC32+AA33</f>
        <v>68.782667797823592</v>
      </c>
      <c r="AD33" s="429">
        <f t="shared" ref="AD33:AD36" si="37">AC33-AJ32-$O$13</f>
        <v>68.782668238258864</v>
      </c>
      <c r="AE33" s="430">
        <f>_xlfn.IFS((W33&lt;='Frame Capacities'!$BO$16),(W33*'Frame Capacities'!$BH$6*'Frame Capacities'!$BI$16),(AND((W33&gt;'Frame Capacities'!$BO$16),(W33&lt;='Frame Capacities'!$BP$16))),((W33-'Frame Capacities'!$BO$16)*'Frame Capacities'!$BH$6*('Frame Capacities'!$BJ$16)+'Frame Capacities'!$BC$16),(AND((W33&gt;'Frame Capacities'!$BP$16),(W33&lt;='Frame Capacities'!$BQ$16))),((W33-'Frame Capacities'!$BP$16)*'Frame Capacities'!$BH$6*('Frame Capacities'!$BK$16)+'Frame Capacities'!$BD$16),(AND((W33&gt;'Frame Capacities'!$BQ$16),(W33&lt;='Frame Capacities'!$BR$16))),((W33-'Frame Capacities'!$BQ$16)*'Frame Capacities'!$BH$6*('Frame Capacities'!$BL$16)+'Frame Capacities'!$BE$16))</f>
        <v>6.7329291410724332</v>
      </c>
      <c r="AF33" s="431">
        <f>_xlfn.IFS((W33&lt;='Infill Capacities'!$CW$16),(W33*'Infill Capacities'!$CR$16*'Infill Capacities'!$CQ$6),(AND((W33&gt;'Infill Capacities'!$CW$16),(W33&lt;='Infill Capacities'!$CX$16))),((W33-'Infill Capacities'!$CW$16)*'Infill Capacities'!$CQ$6*('Infill Capacities'!$CS$16)+'Infill Capacities'!$CM$16),(AND((W33&gt;'Infill Capacities'!$CX$16),(W33&lt;='Infill Capacities'!$CY$16))),((W33-'Infill Capacities'!$CX$16)*'Infill Capacities'!$CQ$6*('Infill Capacities'!$CT$16)+'Infill Capacities'!$CN$16),(AND((W33&gt;'Infill Capacities'!$CY$16),(W33&lt;='Infill Capacities'!$CZ$16))),((W33-'Infill Capacities'!$CY$16)*'Infill Capacities'!$CQ$6*('Infill Capacities'!$CU$16)+'Infill Capacities'!$CP$16))</f>
        <v>62.049742723337886</v>
      </c>
      <c r="AG33" s="71">
        <f>AE33/$C$18</f>
        <v>5.8888593070604373E-2</v>
      </c>
      <c r="AH33" s="435">
        <f>AF33/$D$18</f>
        <v>0.28663037104276551</v>
      </c>
      <c r="AI33" s="433">
        <f t="shared" si="34"/>
        <v>68.782671864410318</v>
      </c>
      <c r="AJ33" s="561">
        <f t="shared" ref="AJ33:AJ36" si="38">AD33-AI33</f>
        <v>-3.6261514537727635E-6</v>
      </c>
      <c r="AK33" s="436">
        <f t="shared" si="35"/>
        <v>-5.9122259374687464E-8</v>
      </c>
      <c r="AL33" s="40"/>
    </row>
    <row r="34" spans="1:38" x14ac:dyDescent="0.25">
      <c r="A34" s="7"/>
      <c r="B34" s="904" t="s">
        <v>0</v>
      </c>
      <c r="C34" s="906" t="s">
        <v>91</v>
      </c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8"/>
      <c r="Q34" s="40"/>
      <c r="R34" s="71">
        <f>_xlfn.IFS(('System Capacities'!$N$22+'System Capacities'!$N$35=2),(ABS(AD21/$G$19)),('System Capacities'!$N$22+'System Capacities'!$N$35=3),((ABS(AD21-'System Capacities'!$D$60)/ABS($G$19))+('System Capacities'!$E$60*'System Capacities'!$D$9)),('System Capacities'!$N$22+'System Capacities'!$N$35=4),((ABS(ABS(AD21-AJ21)-'System Capacities'!$D$61)/ABS($G$19))+('System Capacities'!$E$61*'System Capacities'!$D$9)),('System Capacities'!$N$22+'System Capacities'!$N$35=5),((ABS(ABS(AD21-AJ21)-'System Capacities'!$D$62)/ABS($G$19))+('System Capacities'!$E$62*'System Capacities'!$D$9)),('System Capacities'!$N$22+'System Capacities'!$N$35=6),((ABS(ABS(AD21-AJ21)-'System Capacities'!$D$63)/ABS($G$19))+('System Capacities'!$E$63*'System Capacities'!$D$9)),('System Capacities'!$N$22+'System Capacities'!$N$35=7),((ABS(ABS(AD21-AJ21)-'System Capacities'!$D$64)/ABS($G$19))+('System Capacities'!$E$64*'System Capacities'!$D$9)),('System Capacities'!$N$22+'System Capacities'!$N$35=8),((ABS(ABS(AD21-AJ21)-'System Capacities'!$D$65)/ABS($G$19))+('System Capacities'!$E$65*'System Capacities'!$D$9)),('System Capacities'!$N$22+'System Capacities'!$N$35=9),((ABS(ABS(AD21-AJ21)-'System Capacities'!$D$66)/ABS($G$19))+('System Capacities'!$E$66*'System Capacities'!$D$9)),('System Capacities'!$N$22+'System Capacities'!$N$35=10),((ABS(ABS(AD21-AJ21)-'System Capacities'!$D$67)/ABS($G$19))+('System Capacities'!$E$67*'System Capacities'!$D$9)))</f>
        <v>1.8373067614010773E-3</v>
      </c>
      <c r="S34" s="444">
        <f t="shared" si="29"/>
        <v>5.425542310471012E-3</v>
      </c>
      <c r="T34" s="40"/>
      <c r="U34" s="68">
        <v>3</v>
      </c>
      <c r="V34" s="70">
        <f t="shared" si="30"/>
        <v>8.75</v>
      </c>
      <c r="W34" s="71">
        <f t="shared" si="31"/>
        <v>6.124355871336924E-4</v>
      </c>
      <c r="X34" s="428">
        <f t="shared" si="32"/>
        <v>5.425542310471012E-3</v>
      </c>
      <c r="Y34" s="70">
        <f>'Structural Information'!$Z$9</f>
        <v>40.367000000000004</v>
      </c>
      <c r="Z34" s="70">
        <f t="shared" si="33"/>
        <v>0.21901286644678336</v>
      </c>
      <c r="AA34" s="70">
        <f>((Y34*X34)/(Z38)*$L$15)</f>
        <v>15.862511672934795</v>
      </c>
      <c r="AB34" s="70">
        <f>AD34-AD33+$O$18</f>
        <v>15.862514858650982</v>
      </c>
      <c r="AC34" s="70">
        <f t="shared" si="36"/>
        <v>84.645179470758393</v>
      </c>
      <c r="AD34" s="429">
        <f t="shared" si="37"/>
        <v>84.645183096909847</v>
      </c>
      <c r="AE34" s="430">
        <f>_xlfn.IFS((W34&lt;='Frame Capacities'!$BO$17),(W34*'Frame Capacities'!$BH$7*'Frame Capacities'!$BI$17),(AND((W34&gt;'Frame Capacities'!$BO$17),(W34&lt;='Frame Capacities'!$BP$17))),((W34-'Frame Capacities'!$BO$17)*'Frame Capacities'!$BH$7*('Frame Capacities'!$BJ$17)+'Frame Capacities'!$BC$17),(AND((W34&gt;'Frame Capacities'!$BP$17),(W34&lt;='Frame Capacities'!$BQ$17))),((W34-'Frame Capacities'!$BP$17)*'Frame Capacities'!$BH$7*('Frame Capacities'!$BK$17)+'Frame Capacities'!$BD$17),(AND((W34&gt;'Frame Capacities'!$BQ$17),(W34&lt;='Frame Capacities'!$BR$17))),((W34-'Frame Capacities'!$BQ$17)*'Frame Capacities'!$BH$7*('Frame Capacities'!$BL$17)+'Frame Capacities'!$BE$17))</f>
        <v>11.00388576341995</v>
      </c>
      <c r="AF34" s="431">
        <f>_xlfn.IFS((W34&lt;='Infill Capacities'!$CW$17),(W34*'Infill Capacities'!$CR$17*'Infill Capacities'!$CQ$7),(AND((W34&gt;'Infill Capacities'!$CW$17),(W34&lt;='Infill Capacities'!$CX$17))),((W34-'Infill Capacities'!$CW$17)*'Infill Capacities'!$CQ$7*('Infill Capacities'!$CS$17)+'Infill Capacities'!$CM$17),(AND((W34&gt;'Infill Capacities'!$CX$17),(W34&lt;='Infill Capacities'!$CY$17))),((W34-'Infill Capacities'!$CX$17)*'Infill Capacities'!$CQ$7*('Infill Capacities'!$CT$17)+'Infill Capacities'!$CN$17),(AND((W34&gt;'Infill Capacities'!$CY$17),(W34&lt;='Infill Capacities'!$CZ$17))),((W34-'Infill Capacities'!$CY$17)*'Infill Capacities'!$CQ$7*('Infill Capacities'!$CU$17)+'Infill Capacities'!$CP$17))</f>
        <v>73.641292317623268</v>
      </c>
      <c r="AG34" s="71">
        <f>AE34/$C$19</f>
        <v>7.1361126870427699E-2</v>
      </c>
      <c r="AH34" s="435">
        <f>AF34/$D$19</f>
        <v>0.34184349152194399</v>
      </c>
      <c r="AI34" s="433">
        <f t="shared" si="34"/>
        <v>84.645178081043213</v>
      </c>
      <c r="AJ34" s="561">
        <f t="shared" si="38"/>
        <v>5.015866634039412E-6</v>
      </c>
      <c r="AK34" s="436">
        <f t="shared" si="35"/>
        <v>1.6418125508809878E-8</v>
      </c>
      <c r="AL34" s="40"/>
    </row>
    <row r="35" spans="1:38" x14ac:dyDescent="0.25">
      <c r="A35" s="7"/>
      <c r="B35" s="905"/>
      <c r="C35" s="907"/>
      <c r="D35" s="562"/>
      <c r="E35" s="562"/>
      <c r="F35" s="562"/>
      <c r="G35" s="562"/>
      <c r="H35" s="562"/>
      <c r="I35" s="562"/>
      <c r="J35" s="562"/>
      <c r="K35" s="562"/>
      <c r="L35" s="562"/>
      <c r="M35" s="562"/>
      <c r="N35" s="562"/>
      <c r="O35" s="562"/>
      <c r="P35" s="8"/>
      <c r="Q35" s="40"/>
      <c r="R35" s="71">
        <f>_xlfn.IFS(('System Capacities'!$N$23+'System Capacities'!$N$36=2),(ABS(AD22/$G$20)),('System Capacities'!$N$23+'System Capacities'!$N$36=3),((ABS(AD22-'System Capacities'!$H$60)/ABS($G$20))+('System Capacities'!$I$60*'System Capacities'!$D$10)),('System Capacities'!$N$23+'System Capacities'!$N$36=4),((ABS(ABS(AD22-AJ22)-'System Capacities'!$H$61)/ABS($G$20))+('System Capacities'!$I$61*'System Capacities'!$D$10)),('System Capacities'!$N$23+'System Capacities'!$N$36=5),((ABS(ABS(AD22-AJ22)-'System Capacities'!$H$62)/ABS($G$20))+('System Capacities'!$I$62*'System Capacities'!$D$10)),('System Capacities'!$N$23+'System Capacities'!$N$36=6),((ABS(ABS(AD22-AJ22)-'System Capacities'!$H$63)/ABS($G$20))+('System Capacities'!$I$63*'System Capacities'!$D$10)),('System Capacities'!$N$23+'System Capacities'!$N$36=7),((ABS(ABS(AD22-AJ22)-'System Capacities'!$H$64)/ABS($G$20))+('System Capacities'!$I$64*'System Capacities'!$D$10)),('System Capacities'!$N$23+'System Capacities'!$N$36=8),((ABS(ABS(AD22-AJ22)-'System Capacities'!$H$65)/ABS($G$20))+('System Capacities'!$I$65*'System Capacities'!$D$10)),('System Capacities'!$N$23+'System Capacities'!$N$36=9),((ABS(ABS(AD22-AJ22)-'System Capacities'!$H$66)/ABS($G$20))+('System Capacities'!$I$66*'System Capacities'!$D$10)),('System Capacities'!$N$23+'System Capacities'!$N$36=10),((ABS(ABS(AD22-AJ22)-'System Capacities'!$H$67)/ABS($G$20))+('System Capacities'!$I$67*'System Capacities'!$D$10)))</f>
        <v>1.9245771882218771E-3</v>
      </c>
      <c r="S35" s="444">
        <f t="shared" si="29"/>
        <v>3.5882355490699349E-3</v>
      </c>
      <c r="T35" s="40"/>
      <c r="U35" s="68">
        <v>2</v>
      </c>
      <c r="V35" s="70">
        <f t="shared" si="30"/>
        <v>5.75</v>
      </c>
      <c r="W35" s="71">
        <f t="shared" si="31"/>
        <v>6.4152572940729237E-4</v>
      </c>
      <c r="X35" s="428">
        <f t="shared" si="32"/>
        <v>3.5882355490699349E-3</v>
      </c>
      <c r="Y35" s="70">
        <f>'Structural Information'!$Z$10</f>
        <v>40.367000000000004</v>
      </c>
      <c r="Z35" s="70">
        <f t="shared" si="33"/>
        <v>0.14484630440930607</v>
      </c>
      <c r="AA35" s="70">
        <f>((Y35*X35)/(Z38)*$L$15)</f>
        <v>10.490827464843811</v>
      </c>
      <c r="AB35" s="70">
        <f>AD35-AD34+$O$19</f>
        <v>10.49081882282573</v>
      </c>
      <c r="AC35" s="70">
        <f t="shared" si="36"/>
        <v>95.136006935602211</v>
      </c>
      <c r="AD35" s="429">
        <f t="shared" si="37"/>
        <v>95.136001919735577</v>
      </c>
      <c r="AE35" s="430">
        <f>_xlfn.IFS((W35&lt;='Frame Capacities'!$BO$18),(W35*'Frame Capacities'!$BH$8*'Frame Capacities'!$BI$18),(AND((W35&gt;'Frame Capacities'!$BO$18),(W35&lt;='Frame Capacities'!$BP$18))),((W35-'Frame Capacities'!$BO$18)*'Frame Capacities'!$BH$8*('Frame Capacities'!$BJ$18)+'Frame Capacities'!$BC$18),(AND((W35&gt;'Frame Capacities'!$BP$18),(W35&lt;='Frame Capacities'!$BQ$18))),((W35-'Frame Capacities'!$BP$18)*'Frame Capacities'!$BH$8*('Frame Capacities'!$BK$18)+'Frame Capacities'!$BD$18),(AND((W35&gt;'Frame Capacities'!$BQ$18),(W35&lt;='Frame Capacities'!$BR$18))),((W35-'Frame Capacities'!$BQ$18)*'Frame Capacities'!$BH$8*('Frame Capacities'!$BL$18)+'Frame Capacities'!$BE$18))</f>
        <v>15.448315642685344</v>
      </c>
      <c r="AF35" s="431">
        <f>_xlfn.IFS((W35&lt;='Infill Capacities'!$CW$18),(W35*'Infill Capacities'!$CR$18*'Infill Capacities'!$CQ$8),(AND((W35&gt;'Infill Capacities'!$CW$18),(W35&lt;='Infill Capacities'!$CX$18))),((W35-'Infill Capacities'!$CW$18)*'Infill Capacities'!$CQ$8*('Infill Capacities'!$CS$18)+'Infill Capacities'!$CM$18),(AND((W35&gt;'Infill Capacities'!$CX$18),(W35&lt;='Infill Capacities'!$CY$18))),((W35-'Infill Capacities'!$CX$18)*'Infill Capacities'!$CQ$8*('Infill Capacities'!$CT$18)+'Infill Capacities'!$CN$18),(AND((W35&gt;'Infill Capacities'!$CY$18),(W35&lt;='Infill Capacities'!$CZ$18))),((W35-'Infill Capacities'!$CY$18)*'Infill Capacities'!$CQ$8*('Infill Capacities'!$CU$18)+'Infill Capacities'!$CP$18))</f>
        <v>79.687696475336764</v>
      </c>
      <c r="AG35" s="71">
        <f>AE35/$C$20</f>
        <v>9.5008091283427701E-2</v>
      </c>
      <c r="AH35" s="435">
        <f>AF35/$D$20</f>
        <v>0.36991094991893547</v>
      </c>
      <c r="AI35" s="433">
        <f t="shared" si="34"/>
        <v>95.136012118022109</v>
      </c>
      <c r="AJ35" s="561">
        <f t="shared" si="38"/>
        <v>-1.0198286531704071E-5</v>
      </c>
      <c r="AK35" s="436">
        <f t="shared" si="35"/>
        <v>-5.447380087302435E-8</v>
      </c>
      <c r="AL35" s="40"/>
    </row>
    <row r="36" spans="1:38" x14ac:dyDescent="0.25">
      <c r="A36" s="7"/>
      <c r="B36" s="555">
        <v>6</v>
      </c>
      <c r="C36" s="556">
        <v>8.8706777552100251E-3</v>
      </c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2"/>
      <c r="P36" s="8"/>
      <c r="Q36" s="40"/>
      <c r="R36" s="71">
        <f>_xlfn.IFS(('System Capacities'!$N$24+'System Capacities'!$N$37=2),(AD23/$G$21),('System Capacities'!$N$24+'System Capacities'!$N$37=3),((ABS(AD23-'System Capacities'!$L$60)/ABS($G$21))+('System Capacities'!$M$60*'System Capacities'!$D$11)),('System Capacities'!$N$24+'System Capacities'!$N$37=4),((ABS(ABS(AD23-AJ23)-'System Capacities'!$L$61)/ABS($G$21))+('System Capacities'!$M$61*'System Capacities'!$D$11)),('System Capacities'!$N$24+'System Capacities'!$N$37=5),((ABS(ABS(AD23-AJ23)-'System Capacities'!$L$62)/ABS($G$21))+('System Capacities'!$M$62*'System Capacities'!$D$11)),('System Capacities'!$N$24+'System Capacities'!$N$37=6),((ABS(ABS(AD23-AJ23)-'System Capacities'!$L$63)/ABS($G$21))+('System Capacities'!$M$63*'System Capacities'!$D$11)),('System Capacities'!$N$24+'System Capacities'!$N$37=7),((ABS(ABS(AD23-AJ23)-'System Capacities'!$L$64)/ABS($G$21))+('System Capacities'!$M$64*'System Capacities'!$D$11)),('System Capacities'!$N$24+'System Capacities'!$N$37=8),((ABS(ABS(AD23-AJ23)-'System Capacities'!$L$65)/ABS($G$21))+('System Capacities'!$M$65*'System Capacities'!$D$11)),('System Capacities'!$N$24+'System Capacities'!$N$37=9),((ABS(ABS(AD23-AJ23)-'System Capacities'!$L$66)/ABS($G$21))+('System Capacities'!$M$66*'System Capacities'!$D$11)),('System Capacities'!$N$24+'System Capacities'!$N$37=10),((ABS(ABS(AD23-AJ23)-'System Capacities'!$L$67)/ABS($G$21))+('System Capacities'!$M$67*'System Capacities'!$D$11)))</f>
        <v>1.6636583608480575E-3</v>
      </c>
      <c r="S36" s="444">
        <f t="shared" si="29"/>
        <v>1.6636583608480575E-3</v>
      </c>
      <c r="T36" s="40"/>
      <c r="U36" s="68">
        <v>1</v>
      </c>
      <c r="V36" s="70">
        <f t="shared" si="30"/>
        <v>2.75</v>
      </c>
      <c r="W36" s="71">
        <f t="shared" si="31"/>
        <v>6.049666766720209E-4</v>
      </c>
      <c r="X36" s="428">
        <f t="shared" si="32"/>
        <v>1.6636583608480575E-3</v>
      </c>
      <c r="Y36" s="70">
        <f>'Structural Information'!$Z$11</f>
        <v>40.367000000000004</v>
      </c>
      <c r="Z36" s="70">
        <f t="shared" si="33"/>
        <v>6.7156897052353545E-2</v>
      </c>
      <c r="AA36" s="70">
        <f>((Y36*X36)/(Z38)*$L$15)</f>
        <v>4.8639930643978113</v>
      </c>
      <c r="AB36" s="70">
        <f>AD36-AD35+$O$20</f>
        <v>4.8640082785509833</v>
      </c>
      <c r="AC36" s="70">
        <f t="shared" si="36"/>
        <v>100.00000000000003</v>
      </c>
      <c r="AD36" s="429">
        <f t="shared" si="37"/>
        <v>100.00001019828656</v>
      </c>
      <c r="AE36" s="430">
        <f>_xlfn.IFS((W36&lt;='Frame Capacities'!$BO$19),(W36*'Frame Capacities'!$BH$9*'Frame Capacities'!$BI$19),(AND((W36&gt;'Frame Capacities'!$BO$19),(W36&lt;='Frame Capacities'!$BP$19))),((W36-'Frame Capacities'!$BO$19)*'Frame Capacities'!$BH$9*('Frame Capacities'!$BJ$19)+'Frame Capacities'!$BC$19),(AND((W36&gt;'Frame Capacities'!$BP$19),(W36&lt;='Frame Capacities'!$BQ$19))),((W36-'Frame Capacities'!$BP$19)*'Frame Capacities'!$BH$9*('Frame Capacities'!$BK$19)+'Frame Capacities'!$BD$19),(AND((W36&gt;'Frame Capacities'!$BQ$19),(W36&lt;='Frame Capacities'!$BR$19))),((W36-'Frame Capacities'!$BQ$19)*'Frame Capacities'!$BH$9*('Frame Capacities'!$BL$19)+'Frame Capacities'!$BE$19))</f>
        <v>28.156497618840081</v>
      </c>
      <c r="AF36" s="431">
        <f>_xlfn.IFS((W36&lt;='Infill Capacities'!$CW$19),(W36*'Infill Capacities'!$CR$19*'Infill Capacities'!$CQ$9),(AND((W36&gt;'Infill Capacities'!$CW$19),(W36&lt;='Infill Capacities'!$CX$19))),((W36-'Infill Capacities'!$CW$19)*'Infill Capacities'!$CQ$9*('Infill Capacities'!$CS$19)+'Infill Capacities'!$CM$19),(AND((W36&gt;'Infill Capacities'!$CX$19),(W36&lt;='Infill Capacities'!$CY$19))),((W36-'Infill Capacities'!$CX$19)*'Infill Capacities'!$CQ$9*('Infill Capacities'!$CT$19)+'Infill Capacities'!$CN$19),(AND((W36&gt;'Infill Capacities'!$CY$19),(W36&lt;='Infill Capacities'!$CZ$19))),((W36-'Infill Capacities'!$CY$19)*'Infill Capacities'!$CQ$9*('Infill Capacities'!$CU$19)+'Infill Capacities'!$CP$19))</f>
        <v>71.84349728277833</v>
      </c>
      <c r="AG36" s="71">
        <f>AE36/$C$21</f>
        <v>0.11388493668452747</v>
      </c>
      <c r="AH36" s="435">
        <f>AF36/$D$21</f>
        <v>0.34360411540967584</v>
      </c>
      <c r="AI36" s="433">
        <f t="shared" si="34"/>
        <v>99.999994901618408</v>
      </c>
      <c r="AJ36" s="561">
        <f t="shared" si="38"/>
        <v>1.529666815258679E-5</v>
      </c>
      <c r="AK36" s="436">
        <f t="shared" si="35"/>
        <v>5.0983816208827181E-8</v>
      </c>
      <c r="AL36" s="40"/>
    </row>
    <row r="37" spans="1:38" x14ac:dyDescent="0.25">
      <c r="A37" s="7"/>
      <c r="B37" s="555">
        <v>5</v>
      </c>
      <c r="C37" s="556">
        <v>8.1914683464907705E-3</v>
      </c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2"/>
      <c r="P37" s="8"/>
      <c r="Q37" s="40"/>
      <c r="R37" s="71">
        <v>0</v>
      </c>
      <c r="S37" s="444">
        <f>R37</f>
        <v>0</v>
      </c>
      <c r="T37" s="40"/>
      <c r="U37" s="68">
        <v>0</v>
      </c>
      <c r="V37" s="70">
        <f t="shared" si="30"/>
        <v>0</v>
      </c>
      <c r="W37" s="446" t="s">
        <v>83</v>
      </c>
      <c r="X37" s="428">
        <f t="shared" si="32"/>
        <v>0</v>
      </c>
      <c r="Y37" s="70" t="str">
        <f>E11</f>
        <v>-</v>
      </c>
      <c r="Z37" s="70">
        <v>0</v>
      </c>
      <c r="AA37" s="70" t="s">
        <v>83</v>
      </c>
      <c r="AB37" s="70"/>
      <c r="AC37" s="440" t="s">
        <v>83</v>
      </c>
      <c r="AD37" s="440"/>
      <c r="AE37" s="430" t="s">
        <v>83</v>
      </c>
      <c r="AF37" s="430" t="s">
        <v>83</v>
      </c>
      <c r="AG37" s="327" t="s">
        <v>83</v>
      </c>
      <c r="AH37" s="430" t="s">
        <v>83</v>
      </c>
      <c r="AI37" s="438" t="s">
        <v>83</v>
      </c>
      <c r="AJ37" s="438" t="s">
        <v>83</v>
      </c>
      <c r="AK37" s="40"/>
      <c r="AL37" s="40"/>
    </row>
    <row r="38" spans="1:38" x14ac:dyDescent="0.25">
      <c r="A38" s="7"/>
      <c r="B38" s="555">
        <v>4</v>
      </c>
      <c r="C38" s="556">
        <v>7.0182782269265949E-3</v>
      </c>
      <c r="D38" s="562"/>
      <c r="E38" s="562"/>
      <c r="F38" s="562"/>
      <c r="G38" s="562"/>
      <c r="H38" s="562"/>
      <c r="I38" s="562"/>
      <c r="J38" s="562"/>
      <c r="K38" s="562"/>
      <c r="L38" s="562"/>
      <c r="M38" s="562"/>
      <c r="N38" s="562"/>
      <c r="O38" s="562"/>
      <c r="P38" s="8"/>
      <c r="Q38" s="40"/>
      <c r="R38" s="40"/>
      <c r="S38" s="40"/>
      <c r="T38" s="40"/>
      <c r="U38" s="40"/>
      <c r="V38" s="40"/>
      <c r="W38" s="40"/>
      <c r="X38" s="40"/>
      <c r="Y38" s="351" t="s">
        <v>95</v>
      </c>
      <c r="Z38" s="450">
        <f>SUM(Z31:Z37)</f>
        <v>1.3806947535330816</v>
      </c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</row>
    <row r="39" spans="1:38" x14ac:dyDescent="0.25">
      <c r="A39" s="7"/>
      <c r="B39" s="555">
        <v>3</v>
      </c>
      <c r="C39" s="556">
        <v>5.425543345951361E-3</v>
      </c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8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</row>
    <row r="40" spans="1:38" ht="16.5" thickBot="1" x14ac:dyDescent="0.3">
      <c r="A40" s="7"/>
      <c r="B40" s="555">
        <v>2</v>
      </c>
      <c r="C40" s="556">
        <v>3.5882357900888957E-3</v>
      </c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8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</row>
    <row r="41" spans="1:38" ht="16.5" thickBot="1" x14ac:dyDescent="0.3">
      <c r="A41" s="7"/>
      <c r="B41" s="555">
        <v>1</v>
      </c>
      <c r="C41" s="556">
        <v>1.6636584456677132E-3</v>
      </c>
      <c r="D41" s="562"/>
      <c r="E41" s="562"/>
      <c r="F41" s="562"/>
      <c r="G41" s="562"/>
      <c r="H41" s="562"/>
      <c r="I41" s="562"/>
      <c r="J41" s="562"/>
      <c r="K41" s="562"/>
      <c r="L41" s="562"/>
      <c r="M41" s="562"/>
      <c r="N41" s="562"/>
      <c r="O41" s="562"/>
      <c r="P41" s="8"/>
      <c r="Q41" s="40"/>
      <c r="R41" s="888" t="s">
        <v>274</v>
      </c>
      <c r="S41" s="890"/>
      <c r="T41" s="4"/>
      <c r="U41" s="888" t="s">
        <v>274</v>
      </c>
      <c r="V41" s="889"/>
      <c r="W41" s="889"/>
      <c r="X41" s="889"/>
      <c r="Y41" s="889"/>
      <c r="Z41" s="889"/>
      <c r="AA41" s="889"/>
      <c r="AB41" s="889"/>
      <c r="AC41" s="889"/>
      <c r="AD41" s="889"/>
      <c r="AE41" s="889"/>
      <c r="AF41" s="889"/>
      <c r="AG41" s="889"/>
      <c r="AH41" s="889"/>
      <c r="AI41" s="889"/>
      <c r="AJ41" s="890"/>
      <c r="AK41" s="40"/>
      <c r="AL41" s="40"/>
    </row>
    <row r="42" spans="1:38" ht="16.5" thickBot="1" x14ac:dyDescent="0.3">
      <c r="A42" s="7"/>
      <c r="B42" s="557">
        <v>0</v>
      </c>
      <c r="C42" s="558">
        <v>0</v>
      </c>
      <c r="D42" s="562"/>
      <c r="E42" s="562"/>
      <c r="F42" s="562"/>
      <c r="G42" s="562"/>
      <c r="H42" s="562"/>
      <c r="I42" s="562"/>
      <c r="J42" s="562"/>
      <c r="K42" s="562"/>
      <c r="L42" s="562"/>
      <c r="M42" s="562"/>
      <c r="N42" s="562"/>
      <c r="O42" s="562"/>
      <c r="P42" s="8"/>
      <c r="Q42" s="40"/>
      <c r="R42" s="633" t="s">
        <v>98</v>
      </c>
      <c r="S42" s="587" t="s">
        <v>97</v>
      </c>
      <c r="T42" s="40"/>
      <c r="U42" s="587" t="s">
        <v>0</v>
      </c>
      <c r="V42" s="587" t="s">
        <v>89</v>
      </c>
      <c r="W42" s="587" t="s">
        <v>119</v>
      </c>
      <c r="X42" s="633" t="s">
        <v>91</v>
      </c>
      <c r="Y42" s="587" t="s">
        <v>93</v>
      </c>
      <c r="Z42" s="587" t="s">
        <v>94</v>
      </c>
      <c r="AA42" s="590" t="s">
        <v>461</v>
      </c>
      <c r="AB42" s="590" t="s">
        <v>462</v>
      </c>
      <c r="AC42" s="590" t="s">
        <v>463</v>
      </c>
      <c r="AD42" s="590" t="s">
        <v>464</v>
      </c>
      <c r="AE42" s="894" t="s">
        <v>208</v>
      </c>
      <c r="AF42" s="894" t="s">
        <v>207</v>
      </c>
      <c r="AG42" s="894" t="s">
        <v>209</v>
      </c>
      <c r="AH42" s="894" t="s">
        <v>210</v>
      </c>
      <c r="AI42" s="903" t="s">
        <v>394</v>
      </c>
      <c r="AJ42" s="875" t="s">
        <v>456</v>
      </c>
      <c r="AK42" s="895" t="s">
        <v>267</v>
      </c>
      <c r="AL42" s="40"/>
    </row>
    <row r="43" spans="1:38" x14ac:dyDescent="0.25">
      <c r="A43" s="7"/>
      <c r="B43" s="562"/>
      <c r="C43" s="562"/>
      <c r="D43" s="562"/>
      <c r="E43" s="562"/>
      <c r="F43" s="562"/>
      <c r="G43" s="562"/>
      <c r="H43" s="562"/>
      <c r="I43" s="562"/>
      <c r="J43" s="562"/>
      <c r="K43" s="562"/>
      <c r="L43" s="562"/>
      <c r="M43" s="562"/>
      <c r="N43" s="562"/>
      <c r="O43" s="562"/>
      <c r="P43" s="8"/>
      <c r="Q43" s="40"/>
      <c r="R43" s="590"/>
      <c r="S43" s="588"/>
      <c r="T43" s="40"/>
      <c r="U43" s="588"/>
      <c r="V43" s="588"/>
      <c r="W43" s="588"/>
      <c r="X43" s="590"/>
      <c r="Y43" s="588"/>
      <c r="Z43" s="588"/>
      <c r="AA43" s="590"/>
      <c r="AB43" s="590"/>
      <c r="AC43" s="590"/>
      <c r="AD43" s="590"/>
      <c r="AE43" s="633"/>
      <c r="AF43" s="633"/>
      <c r="AG43" s="633"/>
      <c r="AH43" s="633"/>
      <c r="AI43" s="898"/>
      <c r="AJ43" s="875"/>
      <c r="AK43" s="895"/>
      <c r="AL43" s="40"/>
    </row>
    <row r="44" spans="1:38" x14ac:dyDescent="0.25">
      <c r="A44" s="7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2"/>
      <c r="P44" s="8"/>
      <c r="Q44" s="40"/>
      <c r="R44" s="71">
        <f>_xlfn.IFS(('System Capacities'!$N$19+'System Capacities'!$N$32=2),(ABS(AD31/$G$16)),('System Capacities'!$N$19+'System Capacities'!$N$32=3),((ABS(AD31-'System Capacities'!$D$47)/ABS($G$16))+('System Capacities'!$E$47*'System Capacities'!$D$6)),('System Capacities'!$N$19+'System Capacities'!$N$32=4),((ABS(ABS(AD31-AJ31)-'System Capacities'!$D$48)/ABS($G$16))+('System Capacities'!$E$48*'System Capacities'!$D$6)),('System Capacities'!$N$19+'System Capacities'!$N$32=5),((ABS(ABS(AD31-AJ31)-'System Capacities'!$D$49)/ABS($G$16))+('System Capacities'!$E$49*'System Capacities'!$D$6)),('System Capacities'!$N$19+'System Capacities'!$N$32=6),((ABS(ABS(AD31-AJ31)-'System Capacities'!$D$50)/ABS($G$16))+('System Capacities'!$E$50*'System Capacities'!$D$6)),('System Capacities'!$N$19+'System Capacities'!$N$32=7),((ABS(ABS(AD31-AJ31)-'System Capacities'!$D$51)/ABS($G$16))+('System Capacities'!$E$51*'System Capacities'!$D$6)),('System Capacities'!$N$19+'System Capacities'!$N$32=8),((ABS(ABS(AD31-AJ31)-'System Capacities'!$D$52)/ABS($G$16))+('System Capacities'!$E$52*'System Capacities'!$D$6)),('System Capacities'!$N$19+'System Capacities'!$N$32=9),((ABS(ABS(AD31-AJ31)-'System Capacities'!$D$53)/ABS($G$16))+('System Capacities'!$E$53*'System Capacities'!$D$6)),('System Capacities'!$N$19+'System Capacities'!$N$32=8),((ABS(ABS(AD31-AJ31)-'System Capacities'!$D$54)/ABS($G$16))+('System Capacities'!$E$54*'System Capacities'!$D$6)))</f>
        <v>6.7920839364469512E-4</v>
      </c>
      <c r="S44" s="444">
        <f t="shared" ref="S44:S49" si="39">S45+R44</f>
        <v>8.8706732394858729E-3</v>
      </c>
      <c r="T44" s="40"/>
      <c r="U44" s="68">
        <v>6</v>
      </c>
      <c r="V44" s="70">
        <f t="shared" ref="V44:V50" si="40">V5</f>
        <v>17.75</v>
      </c>
      <c r="W44" s="71">
        <f t="shared" ref="W44:W49" si="41">R44/(V44-V45)</f>
        <v>2.2640279788156505E-4</v>
      </c>
      <c r="X44" s="428">
        <f t="shared" ref="X44:X50" si="42">S44</f>
        <v>8.8706732394858729E-3</v>
      </c>
      <c r="Y44" s="70">
        <f>'Structural Information'!$Z$6</f>
        <v>37.8446</v>
      </c>
      <c r="Z44" s="70">
        <f t="shared" ref="Z44:Z49" si="43">Y44*X44</f>
        <v>0.33570708047904707</v>
      </c>
      <c r="AA44" s="70">
        <f>((Y44*X44)/(Z51)*$L$15)</f>
        <v>24.314358638495708</v>
      </c>
      <c r="AB44" s="70">
        <f>AD44+$O$15</f>
        <v>24.314358638495708</v>
      </c>
      <c r="AC44" s="70">
        <f>AA44</f>
        <v>24.314358638495708</v>
      </c>
      <c r="AD44" s="429">
        <f>AC44-$O$12</f>
        <v>24.314358638495708</v>
      </c>
      <c r="AE44" s="430">
        <f>_xlfn.IFS((W44&lt;='Frame Capacities'!$BO$14),(W44*'Frame Capacities'!$BH$4*'Frame Capacities'!$BI$14),(AND((W44&gt;'Frame Capacities'!$BO$14),(W44&lt;='Frame Capacities'!$BP$14))),((W44-'Frame Capacities'!$BO$14)*'Frame Capacities'!$BH$4*('Frame Capacities'!$BJ$14)+'Frame Capacities'!$BC$14),(AND((W44&gt;'Frame Capacities'!$BP$14),(W44&lt;='Frame Capacities'!$BQ$14))),((W44-'Frame Capacities'!$BP$14)*'Frame Capacities'!$BH$4*('Frame Capacities'!$BK$14)+'Frame Capacities'!$BD$14),(AND((W44&gt;'Frame Capacities'!$BQ$14),(W44&lt;='Frame Capacities'!$BR$14))),((W44-'Frame Capacities'!$BQ$14)*'Frame Capacities'!$BH$4*('Frame Capacities'!$BL$14)+'Frame Capacities'!$BE$14))</f>
        <v>2.422396837977228</v>
      </c>
      <c r="AF44" s="431">
        <f>_xlfn.IFS((W44&lt;='Infill Capacities'!$CW$14),(W44*'Infill Capacities'!$CR$14*'Infill Capacities'!$CQ$4),(AND((W44&gt;'Infill Capacities'!$CW$14),(W44&lt;='Infill Capacities'!$CX$14))),((W44-'Infill Capacities'!$CW$14)*'Infill Capacities'!$CQ$4*('Infill Capacities'!$CS$14)+'Infill Capacities'!$CM$14),(AND((W44&gt;'Infill Capacities'!$CX$14),(W44&lt;='Infill Capacities'!$CY$14))),((W44-'Infill Capacities'!$CX$14)*'Infill Capacities'!$CQ$4*('Infill Capacities'!$CT$14)+'Infill Capacities'!$CN$14),(AND((W44&gt;'Infill Capacities'!$CY$14),(W44&lt;='Infill Capacities'!$CZ$14))),((W44-'Infill Capacities'!$CY$14)*'Infill Capacities'!$CQ$4*('Infill Capacities'!$CU$14)+'Infill Capacities'!$CP$14))</f>
        <v>21.891962097230891</v>
      </c>
      <c r="AG44" s="71">
        <f>AE44/$C$16</f>
        <v>2.7238345254616506E-2</v>
      </c>
      <c r="AH44" s="435">
        <f>AF44/$D$16</f>
        <v>0.10112694982091135</v>
      </c>
      <c r="AI44" s="433">
        <f t="shared" ref="AI44:AI49" si="44">AE44+AF44</f>
        <v>24.314358935208119</v>
      </c>
      <c r="AJ44" s="561">
        <f>AD44-AI44</f>
        <v>-2.9671241108530921E-7</v>
      </c>
      <c r="AK44" s="436">
        <f t="shared" ref="AK44:AK49" si="45">(AC44-(AI44))/AC44</f>
        <v>-1.2203176546698596E-8</v>
      </c>
      <c r="AL44" s="40"/>
    </row>
    <row r="45" spans="1:38" x14ac:dyDescent="0.25">
      <c r="A45" s="7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2"/>
      <c r="P45" s="8"/>
      <c r="Q45" s="40"/>
      <c r="R45" s="71">
        <f>_xlfn.IFS(('System Capacities'!$N$20+'System Capacities'!$N$33=2),(ABS(AD32/$G$17)),('System Capacities'!$N$20+'System Capacities'!$N$33=3),((ABS(AD32-'System Capacities'!$H$47)/ABS($G$17))+('System Capacities'!$I$47*'System Capacities'!$D$7)),('System Capacities'!$N$20+'System Capacities'!$N$33=4),((ABS(ABS(AD32-AJ32)-'System Capacities'!$H$48)/ABS($G$17))+('System Capacities'!$I$48*'System Capacities'!$D$7)),('System Capacities'!$N$20+'System Capacities'!$N$33=5),((ABS(ABS(AD32-AJ32)-'System Capacities'!H$49)/ABS($G$17))+('System Capacities'!$I$49*'System Capacities'!$D$7)),('System Capacities'!$N$20+'System Capacities'!$N$33=6),((ABS(ABS(AD32-AJ32)-'System Capacities'!$H$50)/ABS($G$17))+('System Capacities'!$I$50*'System Capacities'!$D$7)),('System Capacities'!$N$20+'System Capacities'!$N$33=7),((ABS(ABS(AD32-AJ32)-'System Capacities'!$H$51)/ABS($G$17))+('System Capacities'!$I$51*'System Capacities'!$D$7)),('System Capacities'!N59+'System Capacities'!$N$33=8),((ABS(ABS(AD32-AJ32)-'System Capacities'!$H$52)/ABS($G$17))+('System Capacities'!$I$52*'System Capacities'!$D$7)),('System Capacities'!N59+'System Capacities'!$N$33=9),((ABS(ABS(AD32-AJ32)-'System Capacities'!$H$53)/ABS($G$17))+('System Capacities'!$I$53*'System Capacities'!$D$7)),('System Capacities'!N59+'System Capacities'!$N$33=10),((ABS(ABS(AD32-AJ32)-'System Capacities'!$H$54)/ABS($G$17))+('System Capacities'!$I$54*'System Capacities'!$D$7)))</f>
        <v>1.1731887419189966E-3</v>
      </c>
      <c r="S45" s="444">
        <f t="shared" si="39"/>
        <v>8.1914648458411773E-3</v>
      </c>
      <c r="T45" s="40"/>
      <c r="U45" s="68">
        <v>5</v>
      </c>
      <c r="V45" s="70">
        <f t="shared" si="40"/>
        <v>14.75</v>
      </c>
      <c r="W45" s="71">
        <f t="shared" si="41"/>
        <v>3.9106291397299886E-4</v>
      </c>
      <c r="X45" s="428">
        <f t="shared" si="42"/>
        <v>8.1914648458411773E-3</v>
      </c>
      <c r="Y45" s="70">
        <f>'Structural Information'!$Z$7</f>
        <v>40.367000000000004</v>
      </c>
      <c r="Z45" s="70">
        <f t="shared" si="43"/>
        <v>0.33066486143207086</v>
      </c>
      <c r="AA45" s="70">
        <f>((Y45*X45)/(Z51)*$L$15)</f>
        <v>23.949164308763109</v>
      </c>
      <c r="AB45" s="70">
        <f>AD45-AD44+$O$16</f>
        <v>23.949164605475527</v>
      </c>
      <c r="AC45" s="70">
        <f>AC44+AA45</f>
        <v>48.263522947258821</v>
      </c>
      <c r="AD45" s="429">
        <f>AC45-AJ44-$O$13</f>
        <v>48.263523243971235</v>
      </c>
      <c r="AE45" s="430">
        <f>_xlfn.IFS((W45&lt;='Frame Capacities'!$BO$15),(W45*'Frame Capacities'!$BH$5*'Frame Capacities'!$BI$15),(AND((W45&gt;'Frame Capacities'!$BO$15),(W45&lt;='Frame Capacities'!$BP$15))),((W45-'Frame Capacities'!$BO$15)*'Frame Capacities'!$BH$5*('Frame Capacities'!$BJ$15)+'Frame Capacities'!$BC$15),(AND((W45&gt;'Frame Capacities'!$BP$15),(W45&lt;='Frame Capacities'!$BQ$15))),((W45-'Frame Capacities'!$BP$15)*'Frame Capacities'!$BH$5*('Frame Capacities'!$BK$15)+'Frame Capacities'!$BD$15),(AND((W45&gt;'Frame Capacities'!$BQ$15),(W45&lt;='Frame Capacities'!$BR$15))),((W45-'Frame Capacities'!$BQ$15)*'Frame Capacities'!$BH$5*('Frame Capacities'!$BL$15)+'Frame Capacities'!$BE$15))</f>
        <v>4.2538726576207671</v>
      </c>
      <c r="AF45" s="431">
        <f>_xlfn.IFS((W45&lt;='Infill Capacities'!$CW$15),(W45*'Infill Capacities'!$CR$15*'Infill Capacities'!$CQ$5),(AND((W45&gt;'Infill Capacities'!$CW$15),(W45&lt;='Infill Capacities'!$CX$15))),((W45-'Infill Capacities'!$CW$15)*'Infill Capacities'!$CQ$5*('Infill Capacities'!$CS$15)+'Infill Capacities'!$CM$15),(AND((W45&gt;'Infill Capacities'!$CX$15),(W45&lt;='Infill Capacities'!$CY$15))),((W45-'Infill Capacities'!$CX$15)*'Infill Capacities'!$CQ$5*('Infill Capacities'!$CT$15)+'Infill Capacities'!$CN$15),(AND((W45&gt;'Infill Capacities'!$CY$15),(W45&lt;='Infill Capacities'!$CZ$15))),((W45-'Infill Capacities'!$CY$15)*'Infill Capacities'!$CQ$5*('Infill Capacities'!$CU$15)+'Infill Capacities'!$CP$15))</f>
        <v>44.009650912909571</v>
      </c>
      <c r="AG45" s="71">
        <f>AE45/$C$17</f>
        <v>4.074590668219126E-2</v>
      </c>
      <c r="AH45" s="435">
        <f>AF45/$D$17</f>
        <v>0.20329661360361034</v>
      </c>
      <c r="AI45" s="433">
        <f t="shared" si="44"/>
        <v>48.263523570530339</v>
      </c>
      <c r="AJ45" s="561">
        <f>AD45-AI45</f>
        <v>-3.2655910331413907E-7</v>
      </c>
      <c r="AK45" s="436">
        <f t="shared" si="45"/>
        <v>-1.2913925049219005E-8</v>
      </c>
      <c r="AL45" s="40"/>
    </row>
    <row r="46" spans="1:38" x14ac:dyDescent="0.25">
      <c r="A46" s="7"/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8"/>
      <c r="Q46" s="40"/>
      <c r="R46" s="71">
        <f>_xlfn.IFS(('System Capacities'!$N$21+'System Capacities'!$N$34=2),(ABS(AD33/$G$18)),('System Capacities'!$N$21+'System Capacities'!$N$34=3),((ABS(AD33-'System Capacities'!$L$47)/ABS($G$18))+('System Capacities'!$M$47*'System Capacities'!$D$8)),('System Capacities'!$N$21+'System Capacities'!$N$34=4),((ABS(ABS(AD33-AJ33)-'System Capacities'!$L$48)/ABS($G$18))+('System Capacities'!$M$48*'System Capacities'!$D$8)),('System Capacities'!$N$21+'System Capacities'!$N$34=5),((ABS(ABS(AD33-AJ33)-'System Capacities'!$L$49)/ABS($G$18))+('System Capacities'!$M$49*'System Capacities'!$D$8)),('System Capacities'!$N$21+'System Capacities'!$N$34=6),((ABS(ABS(AD33-AJ33)-'System Capacities'!$L$50)/ABS($G$18))+('System Capacities'!$M$50*'System Capacities'!$D$8)),('System Capacities'!$N$21+'System Capacities'!$N$34=7),((ABS(ABS(AD33-AJ33)-'System Capacities'!$L$51)/ABS($G$18))+('System Capacities'!$M$51*'System Capacities'!$D$8)),('System Capacities'!$N$21+'System Capacities'!$N$34=8),((ABS(ABS(AD33-AJ33)-'System Capacities'!$L$52)/ABS($G$18))+('System Capacities'!$M$52*'System Capacities'!$D$8)),('System Capacities'!$N$21+'System Capacities'!$N$34=9),((ABS(ABS(AD33-AJ33)-'System Capacities'!$L$53)/ABS($G$18))+('System Capacities'!$M$53*'System Capacities'!$D$8)),('System Capacities'!$N$21+'System Capacities'!$N$34=10),((ABS(ABS(AD33-AJ33)-'System Capacities'!$L$54)/ABS($G$18))+('System Capacities'!$M$54*'System Capacities'!$D$8)))</f>
        <v>1.5927336364012709E-3</v>
      </c>
      <c r="S46" s="444">
        <f t="shared" si="39"/>
        <v>7.0182761039221803E-3</v>
      </c>
      <c r="T46" s="40"/>
      <c r="U46" s="68">
        <v>4</v>
      </c>
      <c r="V46" s="70">
        <f t="shared" si="40"/>
        <v>11.75</v>
      </c>
      <c r="W46" s="71">
        <f t="shared" si="41"/>
        <v>5.3091121213375697E-4</v>
      </c>
      <c r="X46" s="428">
        <f t="shared" si="42"/>
        <v>7.0182761039221803E-3</v>
      </c>
      <c r="Y46" s="70">
        <f>'Structural Information'!$Z$8</f>
        <v>40.367000000000004</v>
      </c>
      <c r="Z46" s="70">
        <f t="shared" si="43"/>
        <v>0.28330675148702666</v>
      </c>
      <c r="AA46" s="70">
        <f>((Y46*X46)/(Z51)*$L$15)</f>
        <v>20.519144101855428</v>
      </c>
      <c r="AB46" s="70">
        <f>AD46-AD45+$O$17</f>
        <v>20.51914413170212</v>
      </c>
      <c r="AC46" s="70">
        <f t="shared" ref="AC46:AC49" si="46">AC45+AA46</f>
        <v>68.782667049114252</v>
      </c>
      <c r="AD46" s="429">
        <f t="shared" ref="AD46:AD49" si="47">AC46-AJ45-$O$13</f>
        <v>68.782667375673356</v>
      </c>
      <c r="AE46" s="430">
        <f>_xlfn.IFS((W46&lt;='Frame Capacities'!$BO$16),(W46*'Frame Capacities'!$BH$6*'Frame Capacities'!$BI$16),(AND((W46&gt;'Frame Capacities'!$BO$16),(W46&lt;='Frame Capacities'!$BP$16))),((W46-'Frame Capacities'!$BO$16)*'Frame Capacities'!$BH$6*('Frame Capacities'!$BJ$16)+'Frame Capacities'!$BC$16),(AND((W46&gt;'Frame Capacities'!$BP$16),(W46&lt;='Frame Capacities'!$BQ$16))),((W46-'Frame Capacities'!$BP$16)*'Frame Capacities'!$BH$6*('Frame Capacities'!$BK$16)+'Frame Capacities'!$BD$16),(AND((W46&gt;'Frame Capacities'!$BQ$16),(W46&lt;='Frame Capacities'!$BR$16))),((W46-'Frame Capacities'!$BQ$16)*'Frame Capacities'!$BH$6*('Frame Capacities'!$BL$16)+'Frame Capacities'!$BE$16))</f>
        <v>6.7329287861193592</v>
      </c>
      <c r="AF46" s="431">
        <f>_xlfn.IFS((W46&lt;='Infill Capacities'!$CW$16),(W46*'Infill Capacities'!$CR$16*'Infill Capacities'!$CQ$6),(AND((W46&gt;'Infill Capacities'!$CW$16),(W46&lt;='Infill Capacities'!$CX$16))),((W46-'Infill Capacities'!$CW$16)*'Infill Capacities'!$CQ$6*('Infill Capacities'!$CS$16)+'Infill Capacities'!$CM$16),(AND((W46&gt;'Infill Capacities'!$CX$16),(W46&lt;='Infill Capacities'!$CY$16))),((W46-'Infill Capacities'!$CX$16)*'Infill Capacities'!$CQ$6*('Infill Capacities'!$CT$16)+'Infill Capacities'!$CN$16),(AND((W46&gt;'Infill Capacities'!$CY$16),(W46&lt;='Infill Capacities'!$CZ$16))),((W46-'Infill Capacities'!$CY$16)*'Infill Capacities'!$CQ$6*('Infill Capacities'!$CU$16)+'Infill Capacities'!$CP$16))</f>
        <v>62.049739452139505</v>
      </c>
      <c r="AG46" s="71">
        <f>AE46/$C$18</f>
        <v>5.8888589966058537E-2</v>
      </c>
      <c r="AH46" s="435">
        <f>AF46/$D$18</f>
        <v>0.28663035593190828</v>
      </c>
      <c r="AI46" s="433">
        <f t="shared" si="44"/>
        <v>68.782668238258864</v>
      </c>
      <c r="AJ46" s="561">
        <f t="shared" ref="AJ46:AJ49" si="48">AD46-AI46</f>
        <v>-8.6258550879847462E-7</v>
      </c>
      <c r="AK46" s="436">
        <f t="shared" si="45"/>
        <v>-1.7288434181586839E-8</v>
      </c>
      <c r="AL46" s="40"/>
    </row>
    <row r="47" spans="1:38" x14ac:dyDescent="0.25">
      <c r="A47" s="7"/>
      <c r="B47" s="562"/>
      <c r="C47" s="562"/>
      <c r="D47" s="562"/>
      <c r="E47" s="562"/>
      <c r="F47" s="562"/>
      <c r="G47" s="562"/>
      <c r="H47" s="562"/>
      <c r="I47" s="562"/>
      <c r="J47" s="562"/>
      <c r="K47" s="562"/>
      <c r="L47" s="562"/>
      <c r="M47" s="562"/>
      <c r="N47" s="562"/>
      <c r="O47" s="562"/>
      <c r="P47" s="8"/>
      <c r="Q47" s="40"/>
      <c r="R47" s="71">
        <f>_xlfn.IFS(('System Capacities'!$N$22+'System Capacities'!$N$35=2),(ABS(AD34/$G$19)),('System Capacities'!$N$22+'System Capacities'!$N$35=3),((ABS(AD34-'System Capacities'!$D$60)/ABS($G$19))+('System Capacities'!$E$60*'System Capacities'!$D$9)),('System Capacities'!$N$22+'System Capacities'!$N$35=4),((ABS(ABS(AD34-AJ34)-'System Capacities'!$D$61)/ABS($G$19))+('System Capacities'!$E$61*'System Capacities'!$D$9)),('System Capacities'!$N$22+'System Capacities'!$N$35=5),((ABS(ABS(AD34-AJ34)-'System Capacities'!$D$62)/ABS($G$19))+('System Capacities'!$E$62*'System Capacities'!$D$9)),('System Capacities'!$N$22+'System Capacities'!$N$35=6),((ABS(ABS(AD34-AJ34)-'System Capacities'!$D$63)/ABS($G$19))+('System Capacities'!$E$63*'System Capacities'!$D$9)),('System Capacities'!$N$22+'System Capacities'!$N$35=7),((ABS(ABS(AD34-AJ34)-'System Capacities'!$D$64)/ABS($G$19))+('System Capacities'!$E$64*'System Capacities'!$D$9)),('System Capacities'!$N$22+'System Capacities'!$N$35=8),((ABS(ABS(AD34-AJ34)-'System Capacities'!$D$65)/ABS($G$19))+('System Capacities'!$E$65*'System Capacities'!$D$9)),('System Capacities'!$N$22+'System Capacities'!$N$35=9),((ABS(ABS(AD34-AJ34)-'System Capacities'!$D$66)/ABS($G$19))+('System Capacities'!$E$66*'System Capacities'!$D$9)),('System Capacities'!$N$22+'System Capacities'!$N$35=10),((ABS(ABS(AD34-AJ34)-'System Capacities'!$D$67)/ABS($G$19))+('System Capacities'!$E$67*'System Capacities'!$D$9)))</f>
        <v>1.837306870275391E-3</v>
      </c>
      <c r="S47" s="444">
        <f t="shared" si="39"/>
        <v>5.4255424675209094E-3</v>
      </c>
      <c r="T47" s="40"/>
      <c r="U47" s="68">
        <v>3</v>
      </c>
      <c r="V47" s="70">
        <f t="shared" si="40"/>
        <v>8.75</v>
      </c>
      <c r="W47" s="71">
        <f t="shared" si="41"/>
        <v>6.1243562342513035E-4</v>
      </c>
      <c r="X47" s="428">
        <f t="shared" si="42"/>
        <v>5.4255424675209094E-3</v>
      </c>
      <c r="Y47" s="70">
        <f>'Structural Information'!$Z$9</f>
        <v>40.367000000000004</v>
      </c>
      <c r="Z47" s="70">
        <f t="shared" si="43"/>
        <v>0.21901287278641657</v>
      </c>
      <c r="AA47" s="70">
        <f>((Y47*X47)/(Z51)*$L$15)</f>
        <v>15.862511829590487</v>
      </c>
      <c r="AB47" s="70">
        <f>AD47-AD46+$O$18</f>
        <v>15.862512365616894</v>
      </c>
      <c r="AC47" s="70">
        <f t="shared" si="46"/>
        <v>84.645178878704741</v>
      </c>
      <c r="AD47" s="429">
        <f t="shared" si="47"/>
        <v>84.645179741290249</v>
      </c>
      <c r="AE47" s="430">
        <f>_xlfn.IFS((W47&lt;='Frame Capacities'!$BO$17),(W47*'Frame Capacities'!$BH$7*'Frame Capacities'!$BI$17),(AND((W47&gt;'Frame Capacities'!$BO$17),(W47&lt;='Frame Capacities'!$BP$17))),((W47-'Frame Capacities'!$BO$17)*'Frame Capacities'!$BH$7*('Frame Capacities'!$BJ$17)+'Frame Capacities'!$BC$17),(AND((W47&gt;'Frame Capacities'!$BP$17),(W47&lt;='Frame Capacities'!$BQ$17))),((W47-'Frame Capacities'!$BP$17)*'Frame Capacities'!$BH$7*('Frame Capacities'!$BK$17)+'Frame Capacities'!$BD$17),(AND((W47&gt;'Frame Capacities'!$BQ$17),(W47&lt;='Frame Capacities'!$BR$17))),((W47-'Frame Capacities'!$BQ$17)*'Frame Capacities'!$BH$7*('Frame Capacities'!$BL$17)+'Frame Capacities'!$BE$17))</f>
        <v>11.003886415483361</v>
      </c>
      <c r="AF47" s="431">
        <f>_xlfn.IFS((W47&lt;='Infill Capacities'!$CW$17),(W47*'Infill Capacities'!$CR$17*'Infill Capacities'!$CQ$7),(AND((W47&gt;'Infill Capacities'!$CW$17),(W47&lt;='Infill Capacities'!$CX$17))),((W47-'Infill Capacities'!$CW$17)*'Infill Capacities'!$CQ$7*('Infill Capacities'!$CS$17)+'Infill Capacities'!$CM$17),(AND((W47&gt;'Infill Capacities'!$CX$17),(W47&lt;='Infill Capacities'!$CY$17))),((W47-'Infill Capacities'!$CX$17)*'Infill Capacities'!$CQ$7*('Infill Capacities'!$CT$17)+'Infill Capacities'!$CN$17),(AND((W47&gt;'Infill Capacities'!$CY$17),(W47&lt;='Infill Capacities'!$CZ$17))),((W47-'Infill Capacities'!$CY$17)*'Infill Capacities'!$CQ$7*('Infill Capacities'!$CU$17)+'Infill Capacities'!$CP$17))</f>
        <v>73.641296681426496</v>
      </c>
      <c r="AG47" s="71">
        <f>AE47/$C$19</f>
        <v>7.1361131099113892E-2</v>
      </c>
      <c r="AH47" s="435">
        <f>AF47/$D$19</f>
        <v>0.34184351177875483</v>
      </c>
      <c r="AI47" s="433">
        <f t="shared" si="44"/>
        <v>84.645183096909861</v>
      </c>
      <c r="AJ47" s="561">
        <f t="shared" si="48"/>
        <v>-3.355619611511429E-6</v>
      </c>
      <c r="AK47" s="436">
        <f t="shared" si="45"/>
        <v>-4.9833967819413884E-8</v>
      </c>
      <c r="AL47" s="40"/>
    </row>
    <row r="48" spans="1:38" x14ac:dyDescent="0.25">
      <c r="A48" s="7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2"/>
      <c r="P48" s="8"/>
      <c r="Q48" s="40"/>
      <c r="R48" s="71">
        <f>_xlfn.IFS(('System Capacities'!$N$23+'System Capacities'!$N$36=2),(ABS(AD35/$G$20)),('System Capacities'!$N$23+'System Capacities'!$N$36=3),((ABS(AD35-'System Capacities'!$H$60)/ABS($G$20))+('System Capacities'!$I$60*'System Capacities'!$D$10)),('System Capacities'!$N$23+'System Capacities'!$N$36=4),((ABS(ABS(AD35-AJ35)-'System Capacities'!$H$61)/ABS($G$20))+('System Capacities'!$I$61*'System Capacities'!$D$10)),('System Capacities'!$N$23+'System Capacities'!$N$36=5),((ABS(ABS(AD35-AJ35)-'System Capacities'!$H$62)/ABS($G$20))+('System Capacities'!$I$62*'System Capacities'!$D$10)),('System Capacities'!$N$23+'System Capacities'!$N$36=6),((ABS(ABS(AD35-AJ35)-'System Capacities'!$H$63)/ABS($G$20))+('System Capacities'!$I$63*'System Capacities'!$D$10)),('System Capacities'!$N$23+'System Capacities'!$N$36=7),((ABS(ABS(AD35-AJ35)-'System Capacities'!$H$64)/ABS($G$20))+('System Capacities'!$I$64*'System Capacities'!$D$10)),('System Capacities'!$N$23+'System Capacities'!$N$36=8),((ABS(ABS(AD35-AJ35)-'System Capacities'!$H$65)/ABS($G$20))+('System Capacities'!$I$65*'System Capacities'!$D$10)),('System Capacities'!$N$23+'System Capacities'!$N$36=9),((ABS(ABS(AD35-AJ35)-'System Capacities'!$H$66)/ABS($G$20))+('System Capacities'!$I$66*'System Capacities'!$D$10)),('System Capacities'!$N$23+'System Capacities'!$N$36=10),((ABS(ABS(AD35-AJ35)-'System Capacities'!$H$67)/ABS($G$20))+('System Capacities'!$I$67*'System Capacities'!$D$10)))</f>
        <v>1.9245769819131492E-3</v>
      </c>
      <c r="S48" s="444">
        <f t="shared" si="39"/>
        <v>3.5882355972455182E-3</v>
      </c>
      <c r="T48" s="40"/>
      <c r="U48" s="68">
        <v>2</v>
      </c>
      <c r="V48" s="70">
        <f t="shared" si="40"/>
        <v>5.75</v>
      </c>
      <c r="W48" s="71">
        <f t="shared" si="41"/>
        <v>6.415256606377164E-4</v>
      </c>
      <c r="X48" s="428">
        <f t="shared" si="42"/>
        <v>3.5882355972455182E-3</v>
      </c>
      <c r="Y48" s="70">
        <f>'Structural Information'!$Z$10</f>
        <v>40.367000000000004</v>
      </c>
      <c r="Z48" s="70">
        <f t="shared" si="43"/>
        <v>0.14484630635400986</v>
      </c>
      <c r="AA48" s="70">
        <f>((Y48*X48)/(Z51)*$L$15)</f>
        <v>10.490827405627595</v>
      </c>
      <c r="AB48" s="70">
        <f>AD48-AD47+$O$19</f>
        <v>10.490829898661701</v>
      </c>
      <c r="AC48" s="70">
        <f t="shared" si="46"/>
        <v>95.136006284332339</v>
      </c>
      <c r="AD48" s="429">
        <f t="shared" si="47"/>
        <v>95.136009639951951</v>
      </c>
      <c r="AE48" s="430">
        <f>_xlfn.IFS((W48&lt;='Frame Capacities'!$BO$18),(W48*'Frame Capacities'!$BH$8*'Frame Capacities'!$BI$18),(AND((W48&gt;'Frame Capacities'!$BO$18),(W48&lt;='Frame Capacities'!$BP$18))),((W48-'Frame Capacities'!$BO$18)*'Frame Capacities'!$BH$8*('Frame Capacities'!$BJ$18)+'Frame Capacities'!$BC$18),(AND((W48&gt;'Frame Capacities'!$BP$18),(W48&lt;='Frame Capacities'!$BQ$18))),((W48-'Frame Capacities'!$BP$18)*'Frame Capacities'!$BH$8*('Frame Capacities'!$BK$18)+'Frame Capacities'!$BD$18),(AND((W48&gt;'Frame Capacities'!$BQ$18),(W48&lt;='Frame Capacities'!$BR$18))),((W48-'Frame Capacities'!$BQ$18)*'Frame Capacities'!$BH$8*('Frame Capacities'!$BL$18)+'Frame Capacities'!$BE$18))</f>
        <v>15.448313986673641</v>
      </c>
      <c r="AF48" s="431">
        <f>_xlfn.IFS((W48&lt;='Infill Capacities'!$CW$18),(W48*'Infill Capacities'!$CR$18*'Infill Capacities'!$CQ$8),(AND((W48&gt;'Infill Capacities'!$CW$18),(W48&lt;='Infill Capacities'!$CX$18))),((W48-'Infill Capacities'!$CW$18)*'Infill Capacities'!$CQ$8*('Infill Capacities'!$CS$18)+'Infill Capacities'!$CM$18),(AND((W48&gt;'Infill Capacities'!$CX$18),(W48&lt;='Infill Capacities'!$CY$18))),((W48-'Infill Capacities'!$CX$18)*'Infill Capacities'!$CQ$8*('Infill Capacities'!$CT$18)+'Infill Capacities'!$CN$18),(AND((W48&gt;'Infill Capacities'!$CY$18),(W48&lt;='Infill Capacities'!$CZ$18))),((W48-'Infill Capacities'!$CY$18)*'Infill Capacities'!$CQ$8*('Infill Capacities'!$CU$18)+'Infill Capacities'!$CP$18))</f>
        <v>79.687687933061937</v>
      </c>
      <c r="AG48" s="71">
        <f>AE48/$C$20</f>
        <v>9.5008081098853892E-2</v>
      </c>
      <c r="AH48" s="435">
        <f>AF48/$D$20</f>
        <v>0.36991091026562467</v>
      </c>
      <c r="AI48" s="433">
        <f t="shared" si="44"/>
        <v>95.136001919735577</v>
      </c>
      <c r="AJ48" s="561">
        <f t="shared" si="48"/>
        <v>7.7202163737410956E-6</v>
      </c>
      <c r="AK48" s="436">
        <f t="shared" si="45"/>
        <v>4.5877443595700517E-8</v>
      </c>
      <c r="AL48" s="40"/>
    </row>
    <row r="49" spans="1:38" x14ac:dyDescent="0.25">
      <c r="A49" s="7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2"/>
      <c r="P49" s="8"/>
      <c r="Q49" s="40"/>
      <c r="R49" s="71">
        <f>_xlfn.IFS(('System Capacities'!$N$24+'System Capacities'!$N$37=2),(AD36/$G$21),('System Capacities'!$N$24+'System Capacities'!$N$37=3),((ABS(AD36-'System Capacities'!$L$60)/ABS($G$21))+('System Capacities'!$M$60*'System Capacities'!$D$11)),('System Capacities'!$N$24+'System Capacities'!$N$37=4),((ABS(ABS(AD36-AJ36)-'System Capacities'!$L$61)/ABS($G$21))+('System Capacities'!$M$61*'System Capacities'!$D$11)),('System Capacities'!$N$24+'System Capacities'!$N$37=5),((ABS(ABS(AD36-AJ36)-'System Capacities'!$L$62)/ABS($G$21))+('System Capacities'!$M$62*'System Capacities'!$D$11)),('System Capacities'!$N$24+'System Capacities'!$N$37=6),((ABS(ABS(AD36-AJ36)-'System Capacities'!$L$63)/ABS($G$21))+('System Capacities'!$M$63*'System Capacities'!$D$11)),('System Capacities'!$N$24+'System Capacities'!$N$37=7),((ABS(ABS(AD36-AJ36)-'System Capacities'!$L$64)/ABS($G$21))+('System Capacities'!$M$64*'System Capacities'!$D$11)),('System Capacities'!$N$24+'System Capacities'!$N$37=8),((ABS(ABS(AD36-AJ36)-'System Capacities'!$L$65)/ABS($G$21))+('System Capacities'!$M$65*'System Capacities'!$D$11)),('System Capacities'!$N$24+'System Capacities'!$N$37=9),((ABS(ABS(AD36-AJ36)-'System Capacities'!$L$66)/ABS($G$21))+('System Capacities'!$M$66*'System Capacities'!$D$11)),('System Capacities'!$N$24+'System Capacities'!$N$37=10),((ABS(ABS(AD36-AJ36)-'System Capacities'!$L$67)/ABS($G$21))+('System Capacities'!$M$67*'System Capacities'!$D$11)))</f>
        <v>1.6636586153323692E-3</v>
      </c>
      <c r="S49" s="444">
        <f t="shared" si="39"/>
        <v>1.6636586153323692E-3</v>
      </c>
      <c r="T49" s="40"/>
      <c r="U49" s="68">
        <v>1</v>
      </c>
      <c r="V49" s="70">
        <f t="shared" si="40"/>
        <v>2.75</v>
      </c>
      <c r="W49" s="71">
        <f t="shared" si="41"/>
        <v>6.0496676921177064E-4</v>
      </c>
      <c r="X49" s="428">
        <f t="shared" si="42"/>
        <v>1.6636586153323692E-3</v>
      </c>
      <c r="Y49" s="70">
        <f>'Structural Information'!$Z$11</f>
        <v>40.367000000000004</v>
      </c>
      <c r="Z49" s="70">
        <f t="shared" si="43"/>
        <v>6.7156907325121751E-2</v>
      </c>
      <c r="AA49" s="70">
        <f>((Y49*X49)/(Z51)*$L$15)</f>
        <v>4.8639937156676822</v>
      </c>
      <c r="AB49" s="70">
        <f>AD49-AD48+$O$20</f>
        <v>4.8639826398317041</v>
      </c>
      <c r="AC49" s="70">
        <f t="shared" si="46"/>
        <v>100.00000000000003</v>
      </c>
      <c r="AD49" s="429">
        <f t="shared" si="47"/>
        <v>99.999992279783655</v>
      </c>
      <c r="AE49" s="430">
        <f>_xlfn.IFS((W49&lt;='Frame Capacities'!$BO$19),(W49*'Frame Capacities'!$BH$9*'Frame Capacities'!$BI$19),(AND((W49&gt;'Frame Capacities'!$BO$19),(W49&lt;='Frame Capacities'!$BP$19))),((W49-'Frame Capacities'!$BO$19)*'Frame Capacities'!$BH$9*('Frame Capacities'!$BJ$19)+'Frame Capacities'!$BC$19),(AND((W49&gt;'Frame Capacities'!$BP$19),(W49&lt;='Frame Capacities'!$BQ$19))),((W49-'Frame Capacities'!$BP$19)*'Frame Capacities'!$BH$9*('Frame Capacities'!$BK$19)+'Frame Capacities'!$BD$19),(AND((W49&gt;'Frame Capacities'!$BQ$19),(W49&lt;='Frame Capacities'!$BR$19))),((W49-'Frame Capacities'!$BQ$19)*'Frame Capacities'!$BH$9*('Frame Capacities'!$BL$19)+'Frame Capacities'!$BE$19))</f>
        <v>28.156501925846307</v>
      </c>
      <c r="AF49" s="431">
        <f>_xlfn.IFS((W49&lt;='Infill Capacities'!$CW$19),(W49*'Infill Capacities'!$CR$19*'Infill Capacities'!$CQ$9),(AND((W49&gt;'Infill Capacities'!$CW$19),(W49&lt;='Infill Capacities'!$CX$19))),((W49-'Infill Capacities'!$CW$19)*'Infill Capacities'!$CQ$9*('Infill Capacities'!$CS$19)+'Infill Capacities'!$CM$19),(AND((W49&gt;'Infill Capacities'!$CX$19),(W49&lt;='Infill Capacities'!$CY$19))),((W49-'Infill Capacities'!$CX$19)*'Infill Capacities'!$CQ$9*('Infill Capacities'!$CT$19)+'Infill Capacities'!$CN$19),(AND((W49&gt;'Infill Capacities'!$CY$19),(W49&lt;='Infill Capacities'!$CZ$19))),((W49-'Infill Capacities'!$CY$19)*'Infill Capacities'!$CQ$9*('Infill Capacities'!$CU$19)+'Infill Capacities'!$CP$19))</f>
        <v>71.84350827244026</v>
      </c>
      <c r="AG49" s="71">
        <f>AE49/$C$21</f>
        <v>0.11388495410512921</v>
      </c>
      <c r="AH49" s="435">
        <f>AF49/$D$21</f>
        <v>0.34360416796965981</v>
      </c>
      <c r="AI49" s="433">
        <f t="shared" si="44"/>
        <v>100.00001019828656</v>
      </c>
      <c r="AJ49" s="561">
        <f t="shared" si="48"/>
        <v>-1.7918502905445166E-5</v>
      </c>
      <c r="AK49" s="436">
        <f t="shared" si="45"/>
        <v>-1.0198286531704068E-7</v>
      </c>
      <c r="AL49" s="40"/>
    </row>
    <row r="50" spans="1:38" ht="16.5" thickBot="1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3"/>
      <c r="Q50" s="40"/>
      <c r="R50" s="71">
        <v>0</v>
      </c>
      <c r="S50" s="444">
        <f>R50</f>
        <v>0</v>
      </c>
      <c r="T50" s="40"/>
      <c r="U50" s="68">
        <v>0</v>
      </c>
      <c r="V50" s="70">
        <f t="shared" si="40"/>
        <v>0</v>
      </c>
      <c r="W50" s="446" t="s">
        <v>83</v>
      </c>
      <c r="X50" s="428">
        <f t="shared" si="42"/>
        <v>0</v>
      </c>
      <c r="Y50" s="70" t="str">
        <f>E11</f>
        <v>-</v>
      </c>
      <c r="Z50" s="70">
        <v>0</v>
      </c>
      <c r="AA50" s="70" t="s">
        <v>83</v>
      </c>
      <c r="AB50" s="70"/>
      <c r="AC50" s="440" t="s">
        <v>83</v>
      </c>
      <c r="AD50" s="440"/>
      <c r="AE50" s="430" t="s">
        <v>83</v>
      </c>
      <c r="AF50" s="430" t="s">
        <v>83</v>
      </c>
      <c r="AG50" s="327" t="s">
        <v>83</v>
      </c>
      <c r="AH50" s="430" t="s">
        <v>83</v>
      </c>
      <c r="AI50" s="438" t="s">
        <v>83</v>
      </c>
      <c r="AJ50" s="438" t="s">
        <v>83</v>
      </c>
      <c r="AK50" s="40"/>
      <c r="AL50" s="40"/>
    </row>
    <row r="51" spans="1:38" x14ac:dyDescent="0.25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54"/>
      <c r="Y51" s="351" t="s">
        <v>95</v>
      </c>
      <c r="Z51" s="450">
        <f>SUM(Z44:Z50)</f>
        <v>1.3806947798636926</v>
      </c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</row>
    <row r="52" spans="1:38" x14ac:dyDescent="0.25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</row>
    <row r="53" spans="1:38" ht="16.5" thickBot="1" x14ac:dyDescent="0.3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</row>
    <row r="54" spans="1:38" ht="15.75" customHeight="1" thickBot="1" x14ac:dyDescent="0.3">
      <c r="A54" s="40"/>
      <c r="B54" s="40"/>
      <c r="C54" s="455"/>
      <c r="D54" s="455"/>
      <c r="E54" s="920" t="s">
        <v>460</v>
      </c>
      <c r="F54" s="921"/>
      <c r="G54" s="921"/>
      <c r="H54" s="921"/>
      <c r="I54" s="922"/>
      <c r="J54" s="567"/>
      <c r="K54" s="567"/>
      <c r="L54" s="455"/>
      <c r="M54" s="455"/>
      <c r="N54" s="455"/>
      <c r="O54" s="455"/>
      <c r="P54" s="455"/>
      <c r="Q54" s="40"/>
      <c r="R54" s="891" t="s">
        <v>275</v>
      </c>
      <c r="S54" s="893"/>
      <c r="T54" s="4"/>
      <c r="U54" s="891" t="s">
        <v>275</v>
      </c>
      <c r="V54" s="892"/>
      <c r="W54" s="892"/>
      <c r="X54" s="892"/>
      <c r="Y54" s="892"/>
      <c r="Z54" s="892"/>
      <c r="AA54" s="892"/>
      <c r="AB54" s="892"/>
      <c r="AC54" s="892"/>
      <c r="AD54" s="892"/>
      <c r="AE54" s="892"/>
      <c r="AF54" s="892"/>
      <c r="AG54" s="892"/>
      <c r="AH54" s="892"/>
      <c r="AI54" s="892"/>
      <c r="AJ54" s="893"/>
      <c r="AK54" s="40"/>
      <c r="AL54" s="40"/>
    </row>
    <row r="55" spans="1:38" ht="15" customHeight="1" x14ac:dyDescent="0.25">
      <c r="A55" s="40"/>
      <c r="B55" s="40"/>
      <c r="C55" s="455"/>
      <c r="D55" s="455"/>
      <c r="E55" s="456" t="s">
        <v>9</v>
      </c>
      <c r="F55" s="456" t="s">
        <v>2</v>
      </c>
      <c r="G55" s="351" t="s">
        <v>398</v>
      </c>
      <c r="H55" s="351" t="s">
        <v>399</v>
      </c>
      <c r="I55" s="456" t="s">
        <v>397</v>
      </c>
      <c r="J55" s="568"/>
      <c r="K55" s="562"/>
      <c r="L55" s="455"/>
      <c r="M55" s="455"/>
      <c r="N55" s="455"/>
      <c r="O55" s="455"/>
      <c r="P55" s="455"/>
      <c r="Q55" s="40"/>
      <c r="R55" s="633" t="s">
        <v>98</v>
      </c>
      <c r="S55" s="587" t="s">
        <v>97</v>
      </c>
      <c r="T55" s="40"/>
      <c r="U55" s="587" t="s">
        <v>0</v>
      </c>
      <c r="V55" s="587" t="s">
        <v>89</v>
      </c>
      <c r="W55" s="587" t="s">
        <v>119</v>
      </c>
      <c r="X55" s="901" t="s">
        <v>91</v>
      </c>
      <c r="Y55" s="587" t="s">
        <v>93</v>
      </c>
      <c r="Z55" s="587" t="s">
        <v>94</v>
      </c>
      <c r="AA55" s="590" t="s">
        <v>461</v>
      </c>
      <c r="AB55" s="590" t="s">
        <v>462</v>
      </c>
      <c r="AC55" s="590" t="s">
        <v>463</v>
      </c>
      <c r="AD55" s="590" t="s">
        <v>464</v>
      </c>
      <c r="AE55" s="894" t="s">
        <v>208</v>
      </c>
      <c r="AF55" s="894" t="s">
        <v>207</v>
      </c>
      <c r="AG55" s="894" t="s">
        <v>209</v>
      </c>
      <c r="AH55" s="894" t="s">
        <v>210</v>
      </c>
      <c r="AI55" s="903" t="s">
        <v>394</v>
      </c>
      <c r="AJ55" s="875" t="s">
        <v>456</v>
      </c>
      <c r="AK55" s="895" t="s">
        <v>267</v>
      </c>
      <c r="AL55" s="40"/>
    </row>
    <row r="56" spans="1:38" ht="15" customHeight="1" x14ac:dyDescent="0.25">
      <c r="A56" s="40"/>
      <c r="B56" s="40"/>
      <c r="C56" s="13"/>
      <c r="D56" s="457"/>
      <c r="E56" s="458">
        <v>6</v>
      </c>
      <c r="F56" s="459">
        <v>17.75</v>
      </c>
      <c r="G56" s="460">
        <f t="shared" ref="G56:G61" si="49">AA57</f>
        <v>24.314358922715627</v>
      </c>
      <c r="H56" s="460">
        <f t="shared" ref="H56:H62" si="50">G56/$AC$62</f>
        <v>0.24314358922715623</v>
      </c>
      <c r="I56" s="461">
        <f t="shared" ref="I56:I62" si="51">H56/MAX($H$56:$H$62)</f>
        <v>1</v>
      </c>
      <c r="J56" s="460"/>
      <c r="K56" s="562"/>
      <c r="L56" s="457"/>
      <c r="M56" s="457"/>
      <c r="N56" s="462"/>
      <c r="O56" s="462"/>
      <c r="P56" s="462"/>
      <c r="Q56" s="40"/>
      <c r="R56" s="590"/>
      <c r="S56" s="588"/>
      <c r="T56" s="40"/>
      <c r="U56" s="588"/>
      <c r="V56" s="588"/>
      <c r="W56" s="588"/>
      <c r="X56" s="902"/>
      <c r="Y56" s="588"/>
      <c r="Z56" s="588"/>
      <c r="AA56" s="590"/>
      <c r="AB56" s="590"/>
      <c r="AC56" s="590"/>
      <c r="AD56" s="590"/>
      <c r="AE56" s="633"/>
      <c r="AF56" s="633"/>
      <c r="AG56" s="633"/>
      <c r="AH56" s="633"/>
      <c r="AI56" s="898"/>
      <c r="AJ56" s="875"/>
      <c r="AK56" s="895"/>
      <c r="AL56" s="40"/>
    </row>
    <row r="57" spans="1:38" ht="15" customHeight="1" x14ac:dyDescent="0.25">
      <c r="A57" s="40"/>
      <c r="B57" s="40"/>
      <c r="C57" s="463"/>
      <c r="D57" s="464"/>
      <c r="E57" s="465">
        <v>5</v>
      </c>
      <c r="F57" s="459">
        <v>14.75</v>
      </c>
      <c r="G57" s="460">
        <f t="shared" si="49"/>
        <v>23.949164556766746</v>
      </c>
      <c r="H57" s="460">
        <f t="shared" si="50"/>
        <v>0.23949164556766742</v>
      </c>
      <c r="I57" s="461">
        <f t="shared" si="51"/>
        <v>0.98498030044264506</v>
      </c>
      <c r="J57" s="460"/>
      <c r="K57" s="562"/>
      <c r="L57" s="464"/>
      <c r="M57" s="466"/>
      <c r="N57" s="462"/>
      <c r="O57" s="462"/>
      <c r="P57" s="462"/>
      <c r="Q57" s="40"/>
      <c r="R57" s="71">
        <f>_xlfn.IFS(('System Capacities'!$N$19+'System Capacities'!$N$32=2),(ABS(AD44/$G$16)),('System Capacities'!$N$19+'System Capacities'!$N$32=3),((ABS(AD44-'System Capacities'!$D$47)/ABS($G$16))+('System Capacities'!$E$47*'System Capacities'!$D$6)),('System Capacities'!$N$19+'System Capacities'!$N$32=4),((ABS(ABS(AD44-AJ44)-'System Capacities'!$D$48)/ABS($G$16))+('System Capacities'!$E$48*'System Capacities'!$D$6)),('System Capacities'!$N$19+'System Capacities'!$N$32=5),((ABS(ABS(AD44-AJ44)-'System Capacities'!$D$49)/ABS($G$16))+('System Capacities'!$E$49*'System Capacities'!$D$6)),('System Capacities'!$N$19+'System Capacities'!$N$32=6),((ABS(ABS(AD44-AJ44)-'System Capacities'!$D$50)/ABS($G$16))+('System Capacities'!$E$50*'System Capacities'!$D$6)),('System Capacities'!$N$19+'System Capacities'!$N$32=7),((ABS(ABS(AD44-AJ44)-'System Capacities'!$D$51)/ABS($G$16))+('System Capacities'!$E$51*'System Capacities'!$D$6)),('System Capacities'!$N$19+'System Capacities'!$N$32=8),((ABS(ABS(AD44-AJ44)-'System Capacities'!$D$52)/ABS($G$16))+('System Capacities'!$E$52*'System Capacities'!$D$6)),('System Capacities'!$N$19+'System Capacities'!$N$32=9),((ABS(ABS(AD44-AJ44)-'System Capacities'!$D$53)/ABS($G$16))+('System Capacities'!$E$53*'System Capacities'!$D$6)),('System Capacities'!$N$19+'System Capacities'!$N$32=8),((ABS(ABS(AD44-AJ44)-'System Capacities'!$D$54)/ABS($G$16))+('System Capacities'!$E$54*'System Capacities'!$D$6)))</f>
        <v>6.7920838535619524E-4</v>
      </c>
      <c r="S57" s="444">
        <f t="shared" ref="S57:S60" si="52">S58+R57</f>
        <v>8.8706729885236167E-3</v>
      </c>
      <c r="T57" s="40"/>
      <c r="U57" s="68">
        <v>6</v>
      </c>
      <c r="V57" s="70">
        <f t="shared" ref="V57:V63" si="53">V5</f>
        <v>17.75</v>
      </c>
      <c r="W57" s="71">
        <f t="shared" ref="W57:W59" si="54">R57/(V57-V58)</f>
        <v>2.2640279511873174E-4</v>
      </c>
      <c r="X57" s="467">
        <f t="shared" ref="X57:X62" si="55">S57</f>
        <v>8.8706729885236167E-3</v>
      </c>
      <c r="Y57" s="70">
        <f>'Structural Information'!$Z$6</f>
        <v>37.8446</v>
      </c>
      <c r="Z57" s="70">
        <f t="shared" ref="Z57:Z62" si="56">Y57*X57</f>
        <v>0.33570707098148084</v>
      </c>
      <c r="AA57" s="70">
        <f>((Y57*X57)/(Z64)*$L$15)</f>
        <v>24.314358922715627</v>
      </c>
      <c r="AB57" s="70">
        <f>AD57+$O$15</f>
        <v>24.314358922715627</v>
      </c>
      <c r="AC57" s="70">
        <f>AA57</f>
        <v>24.314358922715627</v>
      </c>
      <c r="AD57" s="429">
        <f>AC57-$O$12</f>
        <v>24.314358922715627</v>
      </c>
      <c r="AE57" s="430">
        <f>_xlfn.IFS((W57&lt;='Frame Capacities'!$BO$14),(W57*'Frame Capacities'!$BH$4*'Frame Capacities'!$BI$14),(AND((W57&gt;'Frame Capacities'!$BO$14),(W57&lt;='Frame Capacities'!$BP$14))),((W57-'Frame Capacities'!$BO$14)*'Frame Capacities'!$BH$4*('Frame Capacities'!$BJ$14)+'Frame Capacities'!$BC$14),(AND((W57&gt;'Frame Capacities'!$BP$14),(W57&lt;='Frame Capacities'!$BQ$14))),((W57-'Frame Capacities'!$BP$14)*'Frame Capacities'!$BH$4*('Frame Capacities'!$BK$14)+'Frame Capacities'!$BD$14),(AND((W57&gt;'Frame Capacities'!$BQ$14),(W57&lt;='Frame Capacities'!$BR$14))),((W57-'Frame Capacities'!$BQ$14)*'Frame Capacities'!$BH$4*('Frame Capacities'!$BL$14)+'Frame Capacities'!$BE$14))</f>
        <v>2.4223968084162917</v>
      </c>
      <c r="AF57" s="431">
        <f>_xlfn.IFS((W57&lt;='Infill Capacities'!$CW$14),(W57*'Infill Capacities'!$CR$14*'Infill Capacities'!$CQ$4),(AND((W57&gt;'Infill Capacities'!$CW$14),(W57&lt;='Infill Capacities'!$CX$14))),((W57-'Infill Capacities'!$CW$14)*'Infill Capacities'!$CQ$4*('Infill Capacities'!$CS$14)+'Infill Capacities'!$CM$14),(AND((W57&gt;'Infill Capacities'!$CX$14),(W57&lt;='Infill Capacities'!$CY$14))),((W57-'Infill Capacities'!$CX$14)*'Infill Capacities'!$CQ$4*('Infill Capacities'!$CT$14)+'Infill Capacities'!$CN$14),(AND((W57&gt;'Infill Capacities'!$CY$14),(W57&lt;='Infill Capacities'!$CZ$14))),((W57-'Infill Capacities'!$CY$14)*'Infill Capacities'!$CQ$4*('Infill Capacities'!$CU$14)+'Infill Capacities'!$CP$14))</f>
        <v>21.891961830079413</v>
      </c>
      <c r="AG57" s="468">
        <f>AE57/$C$16</f>
        <v>2.7238344922222168E-2</v>
      </c>
      <c r="AH57" s="469">
        <f>AF57/$D$16</f>
        <v>0.10112694858684133</v>
      </c>
      <c r="AI57" s="433">
        <f t="shared" ref="AI57:AI60" si="57">AE57+AF57</f>
        <v>24.314358638495705</v>
      </c>
      <c r="AJ57" s="561">
        <f>AD57-AI57</f>
        <v>2.842199222641284E-7</v>
      </c>
      <c r="AK57" s="436">
        <f t="shared" ref="AK57:AK62" si="58">(AC57-(AI57))/AC57</f>
        <v>1.1689385813853257E-8</v>
      </c>
      <c r="AL57" s="40"/>
    </row>
    <row r="58" spans="1:38" ht="15" customHeight="1" x14ac:dyDescent="0.25">
      <c r="A58" s="40"/>
      <c r="B58" s="40"/>
      <c r="C58" s="463"/>
      <c r="D58" s="464"/>
      <c r="E58" s="465">
        <v>4</v>
      </c>
      <c r="F58" s="459">
        <v>11.75</v>
      </c>
      <c r="G58" s="460">
        <f t="shared" si="49"/>
        <v>20.519144235932838</v>
      </c>
      <c r="H58" s="460">
        <f t="shared" si="50"/>
        <v>0.20519144235932835</v>
      </c>
      <c r="I58" s="461">
        <f t="shared" si="51"/>
        <v>0.84391055923596159</v>
      </c>
      <c r="J58" s="460"/>
      <c r="K58" s="562"/>
      <c r="L58" s="464"/>
      <c r="M58" s="466"/>
      <c r="N58" s="462"/>
      <c r="O58" s="462"/>
      <c r="P58" s="462"/>
      <c r="Q58" s="40"/>
      <c r="R58" s="71">
        <f>_xlfn.IFS(('System Capacities'!$N$20+'System Capacities'!$N$33=2),(ABS(AD45/$G$17)),('System Capacities'!$N$20+'System Capacities'!$N$33=3),((ABS(AD45-'System Capacities'!$H$47)/ABS($G$17))+('System Capacities'!$I$47*'System Capacities'!$D$7)),('System Capacities'!$N$20+'System Capacities'!$N$33=4),((ABS(ABS(AD45-AJ45)-'System Capacities'!$H$48)/ABS($G$17))+('System Capacities'!$I$48*'System Capacities'!$D$7)),('System Capacities'!$N$20+'System Capacities'!$N$33=5),((ABS(ABS(AD45-AJ45)-'System Capacities'!H$49)/ABS($G$17))+('System Capacities'!$I$49*'System Capacities'!$D$7)),('System Capacities'!$N$20+'System Capacities'!$N$33=6),((ABS(ABS(AD45-AJ45)-'System Capacities'!$H$50)/ABS($G$17))+('System Capacities'!$I$50*'System Capacities'!$D$7)),('System Capacities'!$N$20+'System Capacities'!$N$33=7),((ABS(ABS(AD45-AJ45)-'System Capacities'!$H$51)/ABS($G$17))+('System Capacities'!$I$51*'System Capacities'!$D$7)),('System Capacities'!N72+'System Capacities'!$N$33=8),((ABS(ABS(AD45-AJ45)-'System Capacities'!$H$52)/ABS($G$17))+('System Capacities'!$I$52*'System Capacities'!$D$7)),('System Capacities'!N72+'System Capacities'!$N$33=9),((ABS(ABS(AD45-AJ45)-'System Capacities'!$H$53)/ABS($G$17))+('System Capacities'!$I$53*'System Capacities'!$D$7)),('System Capacities'!N72+'System Capacities'!$N$33=10),((ABS(ABS(AD45-AJ45)-'System Capacities'!$H$54)/ABS($G$17))+('System Capacities'!$I$54*'System Capacities'!$D$7)))</f>
        <v>1.1731887339810048E-3</v>
      </c>
      <c r="S58" s="444">
        <f t="shared" si="52"/>
        <v>8.1914646031674213E-3</v>
      </c>
      <c r="T58" s="40"/>
      <c r="U58" s="68">
        <v>5</v>
      </c>
      <c r="V58" s="70">
        <f t="shared" si="53"/>
        <v>14.75</v>
      </c>
      <c r="W58" s="71">
        <f t="shared" si="54"/>
        <v>3.9106291132700162E-4</v>
      </c>
      <c r="X58" s="467">
        <f t="shared" si="55"/>
        <v>8.1914646031674213E-3</v>
      </c>
      <c r="Y58" s="70">
        <f>'Structural Information'!$Z$7</f>
        <v>40.367000000000004</v>
      </c>
      <c r="Z58" s="70">
        <f t="shared" si="56"/>
        <v>0.33066485163605935</v>
      </c>
      <c r="AA58" s="70">
        <f>((Y58*X58)/(Z64)*$L$15)</f>
        <v>23.949164556766746</v>
      </c>
      <c r="AB58" s="70">
        <f>AD58-AD57+$O$16</f>
        <v>23.949164272546824</v>
      </c>
      <c r="AC58" s="70">
        <f>AC57+AA58</f>
        <v>48.263523479482373</v>
      </c>
      <c r="AD58" s="429">
        <f>AC58-AJ57-$O$13</f>
        <v>48.263523195262451</v>
      </c>
      <c r="AE58" s="430">
        <f>_xlfn.IFS((W58&lt;='Frame Capacities'!$BO$15),(W58*'Frame Capacities'!$BH$5*'Frame Capacities'!$BI$15),(AND((W58&gt;'Frame Capacities'!$BO$15),(W58&lt;='Frame Capacities'!$BP$15))),((W58-'Frame Capacities'!$BO$15)*'Frame Capacities'!$BH$5*('Frame Capacities'!$BJ$15)+'Frame Capacities'!$BC$15),(AND((W58&gt;'Frame Capacities'!$BP$15),(W58&lt;='Frame Capacities'!$BQ$15))),((W58-'Frame Capacities'!$BP$15)*'Frame Capacities'!$BH$5*('Frame Capacities'!$BK$15)+'Frame Capacities'!$BD$15),(AND((W58&gt;'Frame Capacities'!$BQ$15),(W58&lt;='Frame Capacities'!$BR$15))),((W58-'Frame Capacities'!$BQ$15)*'Frame Capacities'!$BH$5*('Frame Capacities'!$BL$15)+'Frame Capacities'!$BE$15))</f>
        <v>4.2538726288383506</v>
      </c>
      <c r="AF58" s="431">
        <f>_xlfn.IFS((W58&lt;='Infill Capacities'!$CW$15),(W58*'Infill Capacities'!$CR$15*'Infill Capacities'!$CQ$5),(AND((W58&gt;'Infill Capacities'!$CW$15),(W58&lt;='Infill Capacities'!$CX$15))),((W58-'Infill Capacities'!$CW$15)*'Infill Capacities'!$CQ$5*('Infill Capacities'!$CS$15)+'Infill Capacities'!$CM$15),(AND((W58&gt;'Infill Capacities'!$CX$15),(W58&lt;='Infill Capacities'!$CY$15))),((W58-'Infill Capacities'!$CX$15)*'Infill Capacities'!$CQ$5*('Infill Capacities'!$CT$15)+'Infill Capacities'!$CN$15),(AND((W58&gt;'Infill Capacities'!$CY$15),(W58&lt;='Infill Capacities'!$CZ$15))),((W58-'Infill Capacities'!$CY$15)*'Infill Capacities'!$CQ$5*('Infill Capacities'!$CU$15)+'Infill Capacities'!$CP$15))</f>
        <v>44.009650615132891</v>
      </c>
      <c r="AG58" s="468">
        <f>AE58/$C$17</f>
        <v>4.0745906406497612E-2</v>
      </c>
      <c r="AH58" s="469">
        <f>AF58/$D$17</f>
        <v>0.20329661222807136</v>
      </c>
      <c r="AI58" s="433">
        <f t="shared" si="57"/>
        <v>48.263523243971242</v>
      </c>
      <c r="AJ58" s="561">
        <f>AD58-AI58</f>
        <v>-4.8708791666740581E-8</v>
      </c>
      <c r="AK58" s="436">
        <f t="shared" si="58"/>
        <v>4.8796920245059916E-9</v>
      </c>
      <c r="AL58" s="40"/>
    </row>
    <row r="59" spans="1:38" ht="15" customHeight="1" x14ac:dyDescent="0.25">
      <c r="A59" s="40"/>
      <c r="B59" s="40"/>
      <c r="C59" s="463"/>
      <c r="D59" s="464"/>
      <c r="E59" s="465">
        <v>3</v>
      </c>
      <c r="F59" s="459">
        <v>8.75</v>
      </c>
      <c r="G59" s="460">
        <f t="shared" si="49"/>
        <v>15.862511835890478</v>
      </c>
      <c r="H59" s="460">
        <f t="shared" si="50"/>
        <v>0.15862511835890475</v>
      </c>
      <c r="I59" s="461">
        <f t="shared" si="51"/>
        <v>0.65239276455160689</v>
      </c>
      <c r="J59" s="460"/>
      <c r="K59" s="562"/>
      <c r="L59" s="464"/>
      <c r="M59" s="466"/>
      <c r="N59" s="462"/>
      <c r="O59" s="462"/>
      <c r="P59" s="462"/>
      <c r="Q59" s="40"/>
      <c r="R59" s="71">
        <f>_xlfn.IFS(('System Capacities'!$N$21+'System Capacities'!$N$34=2),(ABS(AD46/$G$18)),('System Capacities'!$N$21+'System Capacities'!$N$34=3),((ABS(AD46-'System Capacities'!$L$47)/ABS($G$18))+('System Capacities'!$M$47*'System Capacities'!$D$8)),('System Capacities'!$N$21+'System Capacities'!$N$34=4),((ABS(ABS(AD46-AJ46)-'System Capacities'!$L$48)/ABS($G$18))+('System Capacities'!$M$48*'System Capacities'!$D$8)),('System Capacities'!$N$21+'System Capacities'!$N$34=5),((ABS(ABS(AD46-AJ46)-'System Capacities'!$L$49)/ABS($G$18))+('System Capacities'!$M$49*'System Capacities'!$D$8)),('System Capacities'!$N$21+'System Capacities'!$N$34=6),((ABS(ABS(AD46-AJ46)-'System Capacities'!$L$50)/ABS($G$18))+('System Capacities'!$M$50*'System Capacities'!$D$8)),('System Capacities'!$N$21+'System Capacities'!$N$34=7),((ABS(ABS(AD46-AJ46)-'System Capacities'!$L$51)/ABS($G$18))+('System Capacities'!$M$51*'System Capacities'!$D$8)),('System Capacities'!$N$21+'System Capacities'!$N$34=8),((ABS(ABS(AD46-AJ46)-'System Capacities'!$L$52)/ABS($G$18))+('System Capacities'!$M$52*'System Capacities'!$D$8)),('System Capacities'!$N$21+'System Capacities'!$N$34=9),((ABS(ABS(AD46-AJ46)-'System Capacities'!$L$53)/ABS($G$18))+('System Capacities'!$M$53*'System Capacities'!$D$8)),('System Capacities'!$N$21+'System Capacities'!$N$34=10),((ABS(ABS(AD46-AJ46)-'System Capacities'!$L$54)/ABS($G$18))+('System Capacities'!$M$54*'System Capacities'!$D$8)))</f>
        <v>1.5927336164272138E-3</v>
      </c>
      <c r="S59" s="444">
        <f t="shared" si="52"/>
        <v>7.0182758691864173E-3</v>
      </c>
      <c r="T59" s="40"/>
      <c r="U59" s="68">
        <v>4</v>
      </c>
      <c r="V59" s="70">
        <f t="shared" si="53"/>
        <v>11.75</v>
      </c>
      <c r="W59" s="71">
        <f t="shared" si="54"/>
        <v>5.3091120547573789E-4</v>
      </c>
      <c r="X59" s="467">
        <f t="shared" si="55"/>
        <v>7.0182758691864173E-3</v>
      </c>
      <c r="Y59" s="70">
        <f>'Structural Information'!$Z$8</f>
        <v>40.367000000000004</v>
      </c>
      <c r="Z59" s="70">
        <f t="shared" si="56"/>
        <v>0.28330674201144812</v>
      </c>
      <c r="AA59" s="70">
        <f>((Y59*X59)/(Z64)*$L$15)</f>
        <v>20.519144235932838</v>
      </c>
      <c r="AB59" s="70">
        <f>AD59-AD58+$O$17</f>
        <v>20.519144568861549</v>
      </c>
      <c r="AC59" s="70">
        <f t="shared" ref="AC59:AC62" si="59">AC58+AA59</f>
        <v>68.782667715415215</v>
      </c>
      <c r="AD59" s="429">
        <f t="shared" ref="AD59:AD62" si="60">AC59-AJ58-$O$13</f>
        <v>68.782667764124</v>
      </c>
      <c r="AE59" s="430">
        <f>_xlfn.IFS((W59&lt;='Frame Capacities'!$BO$16),(W59*'Frame Capacities'!$BH$6*'Frame Capacities'!$BI$16),(AND((W59&gt;'Frame Capacities'!$BO$16),(W59&lt;='Frame Capacities'!$BP$16))),((W59-'Frame Capacities'!$BO$16)*'Frame Capacities'!$BH$6*('Frame Capacities'!$BJ$16)+'Frame Capacities'!$BC$16),(AND((W59&gt;'Frame Capacities'!$BP$16),(W59&lt;='Frame Capacities'!$BQ$16))),((W59-'Frame Capacities'!$BP$16)*'Frame Capacities'!$BH$6*('Frame Capacities'!$BK$16)+'Frame Capacities'!$BD$16),(AND((W59&gt;'Frame Capacities'!$BQ$16),(W59&lt;='Frame Capacities'!$BR$16))),((W59-'Frame Capacities'!$BQ$16)*'Frame Capacities'!$BH$6*('Frame Capacities'!$BL$16)+'Frame Capacities'!$BE$16))</f>
        <v>6.7329287016834556</v>
      </c>
      <c r="AF59" s="431">
        <f>_xlfn.IFS((W59&lt;='Infill Capacities'!$CW$16),(W59*'Infill Capacities'!$CR$16*'Infill Capacities'!$CQ$6),(AND((W59&gt;'Infill Capacities'!$CW$16),(W59&lt;='Infill Capacities'!$CX$16))),((W59-'Infill Capacities'!$CW$16)*'Infill Capacities'!$CQ$6*('Infill Capacities'!$CS$16)+'Infill Capacities'!$CM$16),(AND((W59&gt;'Infill Capacities'!$CX$16),(W59&lt;='Infill Capacities'!$CY$16))),((W59-'Infill Capacities'!$CX$16)*'Infill Capacities'!$CQ$6*('Infill Capacities'!$CT$16)+'Infill Capacities'!$CN$16),(AND((W59&gt;'Infill Capacities'!$CY$16),(W59&lt;='Infill Capacities'!$CZ$16))),((W59-'Infill Capacities'!$CY$16)*'Infill Capacities'!$CQ$6*('Infill Capacities'!$CU$16)+'Infill Capacities'!$CP$16))</f>
        <v>62.0497386739899</v>
      </c>
      <c r="AG59" s="468">
        <f>AE59/$C$18</f>
        <v>5.8888589227552093E-2</v>
      </c>
      <c r="AH59" s="469">
        <f>AF59/$D$18</f>
        <v>0.28663035233735168</v>
      </c>
      <c r="AI59" s="433">
        <f t="shared" si="57"/>
        <v>68.782667375673356</v>
      </c>
      <c r="AJ59" s="561">
        <f t="shared" ref="AJ59:AJ62" si="61">AD59-AI59</f>
        <v>3.8845064409542829E-7</v>
      </c>
      <c r="AK59" s="436">
        <f t="shared" si="58"/>
        <v>4.9393527587470102E-9</v>
      </c>
      <c r="AL59" s="40"/>
    </row>
    <row r="60" spans="1:38" ht="15" customHeight="1" x14ac:dyDescent="0.25">
      <c r="A60" s="40"/>
      <c r="B60" s="40"/>
      <c r="C60" s="463"/>
      <c r="D60" s="464"/>
      <c r="E60" s="465">
        <v>2</v>
      </c>
      <c r="F60" s="459">
        <v>5.75</v>
      </c>
      <c r="G60" s="460">
        <f t="shared" si="49"/>
        <v>10.490827410115967</v>
      </c>
      <c r="H60" s="460">
        <f t="shared" si="50"/>
        <v>0.10490827410115966</v>
      </c>
      <c r="I60" s="461">
        <f t="shared" si="51"/>
        <v>0.43146633820211228</v>
      </c>
      <c r="J60" s="460"/>
      <c r="K60" s="562"/>
      <c r="L60" s="464"/>
      <c r="M60" s="466"/>
      <c r="N60" s="462"/>
      <c r="O60" s="462"/>
      <c r="P60" s="462"/>
      <c r="Q60" s="40"/>
      <c r="R60" s="71">
        <f>_xlfn.IFS(('System Capacities'!$N$22+'System Capacities'!$N$35=2),(ABS(AD47/$G$19)),('System Capacities'!$N$22+'System Capacities'!$N$35=3),((ABS(AD47-'System Capacities'!$D$60)/ABS($G$19))+('System Capacities'!$E$60*'System Capacities'!$D$9)),('System Capacities'!$N$22+'System Capacities'!$N$35=4),((ABS(ABS(AD47-AJ47)-'System Capacities'!$D$61)/ABS($G$19))+('System Capacities'!$E$61*'System Capacities'!$D$9)),('System Capacities'!$N$22+'System Capacities'!$N$35=5),((ABS(ABS(AD47-AJ47)-'System Capacities'!$D$62)/ABS($G$19))+('System Capacities'!$E$62*'System Capacities'!$D$9)),('System Capacities'!$N$22+'System Capacities'!$N$35=6),((ABS(ABS(AD47-AJ47)-'System Capacities'!$D$63)/ABS($G$19))+('System Capacities'!$E$63*'System Capacities'!$D$9)),('System Capacities'!$N$22+'System Capacities'!$N$35=7),((ABS(ABS(AD47-AJ47)-'System Capacities'!$D$64)/ABS($G$19))+('System Capacities'!$E$64*'System Capacities'!$D$9)),('System Capacities'!$N$22+'System Capacities'!$N$35=8),((ABS(ABS(AD47-AJ47)-'System Capacities'!$D$65)/ABS($G$19))+('System Capacities'!$E$65*'System Capacities'!$D$9)),('System Capacities'!$N$22+'System Capacities'!$N$35=9),((ABS(ABS(AD47-AJ47)-'System Capacities'!$D$66)/ABS($G$19))+('System Capacities'!$E$66*'System Capacities'!$D$9)),('System Capacities'!$N$22+'System Capacities'!$N$35=10),((ABS(ABS(AD47-AJ47)-'System Capacities'!$D$67)/ABS($G$19))+('System Capacities'!$E$67*'System Capacities'!$D$9)))</f>
        <v>1.8373067974383703E-3</v>
      </c>
      <c r="S60" s="444">
        <f t="shared" si="52"/>
        <v>5.4255422527592035E-3</v>
      </c>
      <c r="T60" s="40"/>
      <c r="U60" s="68">
        <v>3</v>
      </c>
      <c r="V60" s="70">
        <f t="shared" si="53"/>
        <v>8.75</v>
      </c>
      <c r="W60" s="71">
        <f>R60/(V60-V61)</f>
        <v>6.1243559914612338E-4</v>
      </c>
      <c r="X60" s="467">
        <f t="shared" si="55"/>
        <v>5.4255422527592035E-3</v>
      </c>
      <c r="Y60" s="70">
        <f>'Structural Information'!$Z$9</f>
        <v>40.367000000000004</v>
      </c>
      <c r="Z60" s="70">
        <f t="shared" si="56"/>
        <v>0.21901286411713081</v>
      </c>
      <c r="AA60" s="70">
        <f>((Y60*X60)/(Z64)*$L$15)</f>
        <v>15.862511835890478</v>
      </c>
      <c r="AB60" s="70">
        <f>AD60-AD59+$O$18</f>
        <v>15.862511398731044</v>
      </c>
      <c r="AC60" s="70">
        <f t="shared" si="59"/>
        <v>84.645179551305688</v>
      </c>
      <c r="AD60" s="429">
        <f t="shared" si="60"/>
        <v>84.645179162855044</v>
      </c>
      <c r="AE60" s="430">
        <f>_xlfn.IFS((W60&lt;='Frame Capacities'!$BO$17),(W60*'Frame Capacities'!$BH$7*'Frame Capacities'!$BI$17),(AND((W60&gt;'Frame Capacities'!$BO$17),(W60&lt;='Frame Capacities'!$BP$17))),((W60-'Frame Capacities'!$BO$17)*'Frame Capacities'!$BH$7*('Frame Capacities'!$BJ$17)+'Frame Capacities'!$BC$17),(AND((W60&gt;'Frame Capacities'!$BP$17),(W60&lt;='Frame Capacities'!$BQ$17))),((W60-'Frame Capacities'!$BP$17)*'Frame Capacities'!$BH$7*('Frame Capacities'!$BK$17)+'Frame Capacities'!$BD$17),(AND((W60&gt;'Frame Capacities'!$BQ$17),(W60&lt;='Frame Capacities'!$BR$17))),((W60-'Frame Capacities'!$BQ$17)*'Frame Capacities'!$BH$7*('Frame Capacities'!$BL$17)+'Frame Capacities'!$BE$17))</f>
        <v>11.00388597925231</v>
      </c>
      <c r="AF60" s="431">
        <f>_xlfn.IFS((W60&lt;='Infill Capacities'!$CW$17),(W60*'Infill Capacities'!$CR$17*'Infill Capacities'!$CQ$7),(AND((W60&gt;'Infill Capacities'!$CW$17),(W60&lt;='Infill Capacities'!$CX$17))),((W60-'Infill Capacities'!$CW$17)*'Infill Capacities'!$CQ$7*('Infill Capacities'!$CS$17)+'Infill Capacities'!$CM$17),(AND((W60&gt;'Infill Capacities'!$CX$17),(W60&lt;='Infill Capacities'!$CY$17))),((W60-'Infill Capacities'!$CX$17)*'Infill Capacities'!$CQ$7*('Infill Capacities'!$CT$17)+'Infill Capacities'!$CN$17),(AND((W60&gt;'Infill Capacities'!$CY$17),(W60&lt;='Infill Capacities'!$CZ$17))),((W60-'Infill Capacities'!$CY$17)*'Infill Capacities'!$CQ$7*('Infill Capacities'!$CU$17)+'Infill Capacities'!$CP$17))</f>
        <v>73.641293762037947</v>
      </c>
      <c r="AG60" s="468">
        <f>AE60/$C$19</f>
        <v>7.1361128270118743E-2</v>
      </c>
      <c r="AH60" s="469">
        <f>AF60/$D$19</f>
        <v>0.34184349822692889</v>
      </c>
      <c r="AI60" s="433">
        <f t="shared" si="57"/>
        <v>84.645179741290264</v>
      </c>
      <c r="AJ60" s="561">
        <f t="shared" si="61"/>
        <v>-5.7843521972245071E-7</v>
      </c>
      <c r="AK60" s="436">
        <f t="shared" si="58"/>
        <v>-2.2444819260129011E-9</v>
      </c>
      <c r="AL60" s="40"/>
    </row>
    <row r="61" spans="1:38" ht="15" customHeight="1" x14ac:dyDescent="0.25">
      <c r="A61" s="40"/>
      <c r="B61" s="40"/>
      <c r="C61" s="463"/>
      <c r="D61" s="464"/>
      <c r="E61" s="465">
        <v>1</v>
      </c>
      <c r="F61" s="459">
        <v>2.75</v>
      </c>
      <c r="G61" s="460">
        <f t="shared" si="49"/>
        <v>4.863993038578351</v>
      </c>
      <c r="H61" s="460">
        <f t="shared" si="50"/>
        <v>4.86399303857835E-2</v>
      </c>
      <c r="I61" s="461">
        <f t="shared" si="51"/>
        <v>0.2000461148919776</v>
      </c>
      <c r="J61" s="460"/>
      <c r="K61" s="562"/>
      <c r="L61" s="464"/>
      <c r="M61" s="466"/>
      <c r="N61" s="462"/>
      <c r="O61" s="462"/>
      <c r="P61" s="462"/>
      <c r="Q61" s="40"/>
      <c r="R61" s="71">
        <f>_xlfn.IFS(('System Capacities'!$N$23+'System Capacities'!$N$36=2),(ABS(AD48/$G$20)),('System Capacities'!$N$23+'System Capacities'!$N$36=3),((ABS(AD48-'System Capacities'!$H$60)/ABS($G$20))+('System Capacities'!$I$60*'System Capacities'!$D$10)),('System Capacities'!$N$23+'System Capacities'!$N$36=4),((ABS(ABS(AD48-AJ48)-'System Capacities'!$H$61)/ABS($G$20))+('System Capacities'!$I$61*'System Capacities'!$D$10)),('System Capacities'!$N$23+'System Capacities'!$N$36=5),((ABS(ABS(AD48-AJ48)-'System Capacities'!$H$62)/ABS($G$20))+('System Capacities'!$I$62*'System Capacities'!$D$10)),('System Capacities'!$N$23+'System Capacities'!$N$36=6),((ABS(ABS(AD48-AJ48)-'System Capacities'!$H$63)/ABS($G$20))+('System Capacities'!$I$63*'System Capacities'!$D$10)),('System Capacities'!$N$23+'System Capacities'!$N$36=7),((ABS(ABS(AD48-AJ48)-'System Capacities'!$H$64)/ABS($G$20))+('System Capacities'!$I$64*'System Capacities'!$D$10)),('System Capacities'!$N$23+'System Capacities'!$N$36=8),((ABS(ABS(AD48-AJ48)-'System Capacities'!$H$65)/ABS($G$20))+('System Capacities'!$I$65*'System Capacities'!$D$10)),('System Capacities'!$N$23+'System Capacities'!$N$36=9),((ABS(ABS(AD48-AJ48)-'System Capacities'!$H$66)/ABS($G$20))+('System Capacities'!$I$66*'System Capacities'!$D$10)),('System Capacities'!$N$23+'System Capacities'!$N$36=10),((ABS(ABS(AD48-AJ48)-'System Capacities'!$H$67)/ABS($G$20))+('System Capacities'!$I$67*'System Capacities'!$D$10)))</f>
        <v>1.9245771380911514E-3</v>
      </c>
      <c r="S61" s="444">
        <f>S62+R61</f>
        <v>3.5882354553208335E-3</v>
      </c>
      <c r="T61" s="40"/>
      <c r="U61" s="68">
        <v>2</v>
      </c>
      <c r="V61" s="70">
        <f t="shared" si="53"/>
        <v>5.75</v>
      </c>
      <c r="W61" s="71">
        <f>R61/(V61-V62)</f>
        <v>6.4152571269705046E-4</v>
      </c>
      <c r="X61" s="467">
        <f>S61</f>
        <v>3.5882354553208335E-3</v>
      </c>
      <c r="Y61" s="70">
        <f>'Structural Information'!$Z$10</f>
        <v>40.367000000000004</v>
      </c>
      <c r="Z61" s="70">
        <f t="shared" si="56"/>
        <v>0.14484630062493611</v>
      </c>
      <c r="AA61" s="70">
        <f>((Y61*X61)/(Z64)*$L$15)</f>
        <v>10.490827410115967</v>
      </c>
      <c r="AB61" s="70">
        <f>AD61-AD60+$O$19</f>
        <v>10.490828377001833</v>
      </c>
      <c r="AC61" s="70">
        <f t="shared" si="59"/>
        <v>95.136006961421657</v>
      </c>
      <c r="AD61" s="429">
        <f t="shared" si="60"/>
        <v>95.136007539856877</v>
      </c>
      <c r="AE61" s="430">
        <f>_xlfn.IFS((W61&lt;='Frame Capacities'!$BO$18),(W61*'Frame Capacities'!$BH$8*'Frame Capacities'!$BI$18),(AND((W61&gt;'Frame Capacities'!$BO$18),(W61&lt;='Frame Capacities'!$BP$18))),((W61-'Frame Capacities'!$BO$18)*'Frame Capacities'!$BH$8*('Frame Capacities'!$BJ$18)+'Frame Capacities'!$BC$18),(AND((W61&gt;'Frame Capacities'!$BP$18),(W61&lt;='Frame Capacities'!$BQ$18))),((W61-'Frame Capacities'!$BP$18)*'Frame Capacities'!$BH$8*('Frame Capacities'!$BK$18)+'Frame Capacities'!$BD$18),(AND((W61&gt;'Frame Capacities'!$BQ$18),(W61&lt;='Frame Capacities'!$BR$18))),((W61-'Frame Capacities'!$BQ$18)*'Frame Capacities'!$BH$8*('Frame Capacities'!$BL$18)+'Frame Capacities'!$BE$18))</f>
        <v>15.448315240292924</v>
      </c>
      <c r="AF61" s="431">
        <f>_xlfn.IFS((W61&lt;='Infill Capacities'!$CW$18),(W61*'Infill Capacities'!$CR$18*'Infill Capacities'!$CQ$8),(AND((W61&gt;'Infill Capacities'!$CW$18),(W61&lt;='Infill Capacities'!$CX$18))),((W61-'Infill Capacities'!$CW$18)*'Infill Capacities'!$CQ$8*('Infill Capacities'!$CS$18)+'Infill Capacities'!$CM$18),(AND((W61&gt;'Infill Capacities'!$CX$18),(W61&lt;='Infill Capacities'!$CY$18))),((W61-'Infill Capacities'!$CX$18)*'Infill Capacities'!$CQ$8*('Infill Capacities'!$CT$18)+'Infill Capacities'!$CN$18),(AND((W61&gt;'Infill Capacities'!$CY$18),(W61&lt;='Infill Capacities'!$CZ$18))),((W61-'Infill Capacities'!$CY$18)*'Infill Capacities'!$CQ$8*('Infill Capacities'!$CU$18)+'Infill Capacities'!$CP$18))</f>
        <v>79.687694399659023</v>
      </c>
      <c r="AG61" s="468">
        <f>AE61/$C$20</f>
        <v>9.5008088808689578E-2</v>
      </c>
      <c r="AH61" s="469">
        <f>AF61/$D$20</f>
        <v>0.36991094028362209</v>
      </c>
      <c r="AI61" s="433">
        <f>AE61+AF61</f>
        <v>95.136009639951951</v>
      </c>
      <c r="AJ61" s="561">
        <f t="shared" si="61"/>
        <v>-2.1000950738425672E-6</v>
      </c>
      <c r="AK61" s="436">
        <f t="shared" si="58"/>
        <v>-2.8154747914227484E-8</v>
      </c>
      <c r="AL61" s="40"/>
    </row>
    <row r="62" spans="1:38" ht="15" customHeight="1" x14ac:dyDescent="0.25">
      <c r="A62" s="40"/>
      <c r="B62" s="40"/>
      <c r="C62" s="463"/>
      <c r="D62" s="464"/>
      <c r="E62" s="470">
        <v>0</v>
      </c>
      <c r="F62" s="471">
        <v>0</v>
      </c>
      <c r="G62" s="472">
        <v>0</v>
      </c>
      <c r="H62" s="472">
        <f t="shared" si="50"/>
        <v>0</v>
      </c>
      <c r="I62" s="473">
        <f t="shared" si="51"/>
        <v>0</v>
      </c>
      <c r="J62" s="460"/>
      <c r="K62" s="562"/>
      <c r="L62" s="464"/>
      <c r="M62" s="466"/>
      <c r="N62" s="462"/>
      <c r="O62" s="462"/>
      <c r="P62" s="462"/>
      <c r="Q62" s="40"/>
      <c r="R62" s="71">
        <f>_xlfn.IFS(('System Capacities'!$N$24+'System Capacities'!$N$37=2),(AD49/$G$21),('System Capacities'!$N$24+'System Capacities'!$N$37=3),((ABS(AD49-'System Capacities'!$L$60)/ABS($G$21))+('System Capacities'!$M$60*'System Capacities'!$D$11)),('System Capacities'!$N$24+'System Capacities'!$N$37=4),((ABS(ABS(AD49-AJ49)-'System Capacities'!$L$61)/ABS($G$21))+('System Capacities'!$M$61*'System Capacities'!$D$11)),('System Capacities'!$N$24+'System Capacities'!$N$37=5),((ABS(ABS(AD49-AJ49)-'System Capacities'!$L$62)/ABS($G$21))+('System Capacities'!$M$62*'System Capacities'!$D$11)),('System Capacities'!$N$24+'System Capacities'!$N$37=6),((ABS(ABS(AD49-AJ49)-'System Capacities'!$L$63)/ABS($G$21))+('System Capacities'!$M$63*'System Capacities'!$D$11)),('System Capacities'!$N$24+'System Capacities'!$N$37=7),((ABS(ABS(AD49-AJ49)-'System Capacities'!$L$64)/ABS($G$21))+('System Capacities'!$M$64*'System Capacities'!$D$11)),('System Capacities'!$N$24+'System Capacities'!$N$37=8),((ABS(ABS(AD49-AJ49)-'System Capacities'!$L$65)/ABS($G$21))+('System Capacities'!$M$65*'System Capacities'!$D$11)),('System Capacities'!$N$24+'System Capacities'!$N$37=9),((ABS(ABS(AD49-AJ49)-'System Capacities'!$L$66)/ABS($G$21))+('System Capacities'!$M$66*'System Capacities'!$D$11)),('System Capacities'!$N$24+'System Capacities'!$N$37=10),((ABS(ABS(AD49-AJ49)-'System Capacities'!$L$67)/ABS($G$21))+('System Capacities'!$M$67*'System Capacities'!$D$11)))</f>
        <v>1.6636583172296823E-3</v>
      </c>
      <c r="S62" s="444">
        <f>S63+R62</f>
        <v>1.6636583172296823E-3</v>
      </c>
      <c r="T62" s="40"/>
      <c r="U62" s="68">
        <v>1</v>
      </c>
      <c r="V62" s="70">
        <f t="shared" si="53"/>
        <v>2.75</v>
      </c>
      <c r="W62" s="71">
        <f>R62/(V62-V63)</f>
        <v>6.0496666081079353E-4</v>
      </c>
      <c r="X62" s="467">
        <f t="shared" si="55"/>
        <v>1.6636583172296823E-3</v>
      </c>
      <c r="Y62" s="70">
        <f>'Structural Information'!$Z$11</f>
        <v>40.367000000000004</v>
      </c>
      <c r="Z62" s="70">
        <f t="shared" si="56"/>
        <v>6.7156895291610591E-2</v>
      </c>
      <c r="AA62" s="70">
        <f>((Y62*X62)/(Z64)*$L$15)</f>
        <v>4.863993038578351</v>
      </c>
      <c r="AB62" s="70">
        <f>AD62-AD61+$O$20</f>
        <v>4.8639945602382113</v>
      </c>
      <c r="AC62" s="70">
        <f t="shared" si="59"/>
        <v>100.00000000000001</v>
      </c>
      <c r="AD62" s="429">
        <f t="shared" si="60"/>
        <v>100.00000210009509</v>
      </c>
      <c r="AE62" s="430">
        <f>_xlfn.IFS((W62&lt;='Frame Capacities'!$BO$19),(W62*'Frame Capacities'!$BH$9*'Frame Capacities'!$BI$19),(AND((W62&gt;'Frame Capacities'!$BO$19),(W62&lt;='Frame Capacities'!$BP$19))),((W62-'Frame Capacities'!$BO$19)*'Frame Capacities'!$BH$9*('Frame Capacities'!$BJ$19)+'Frame Capacities'!$BC$19),(AND((W62&gt;'Frame Capacities'!$BP$19),(W62&lt;='Frame Capacities'!$BQ$19))),((W62-'Frame Capacities'!$BP$19)*'Frame Capacities'!$BH$9*('Frame Capacities'!$BK$19)+'Frame Capacities'!$BD$19),(AND((W62&gt;'Frame Capacities'!$BQ$19),(W62&lt;='Frame Capacities'!$BR$19))),((W62-'Frame Capacities'!$BQ$19)*'Frame Capacities'!$BH$9*('Frame Capacities'!$BL$19)+'Frame Capacities'!$BE$19))</f>
        <v>28.156496880623202</v>
      </c>
      <c r="AF62" s="431">
        <f>_xlfn.IFS((W62&lt;='Infill Capacities'!$CW$19),(W62*'Infill Capacities'!$CR$19*'Infill Capacities'!$CQ$9),(AND((W62&gt;'Infill Capacities'!$CW$19),(W62&lt;='Infill Capacities'!$CX$19))),((W62-'Infill Capacities'!$CW$19)*'Infill Capacities'!$CQ$9*('Infill Capacities'!$CS$19)+'Infill Capacities'!$CM$19),(AND((W62&gt;'Infill Capacities'!$CX$19),(W62&lt;='Infill Capacities'!$CY$19))),((W62-'Infill Capacities'!$CX$19)*'Infill Capacities'!$CQ$9*('Infill Capacities'!$CT$19)+'Infill Capacities'!$CN$19),(AND((W62&gt;'Infill Capacities'!$CY$19),(W62&lt;='Infill Capacities'!$CZ$19))),((W62-'Infill Capacities'!$CY$19)*'Infill Capacities'!$CQ$9*('Infill Capacities'!$CU$19)+'Infill Capacities'!$CP$19))</f>
        <v>71.843495399160446</v>
      </c>
      <c r="AG62" s="468">
        <f>AE62/$C$21</f>
        <v>0.11388493369865246</v>
      </c>
      <c r="AH62" s="469">
        <f>AF62/$D$21</f>
        <v>0.34360410640094324</v>
      </c>
      <c r="AI62" s="433">
        <f>AE62+AF62</f>
        <v>99.99999227978364</v>
      </c>
      <c r="AJ62" s="561">
        <f t="shared" si="61"/>
        <v>9.8203114475836628E-6</v>
      </c>
      <c r="AK62" s="436">
        <f t="shared" si="58"/>
        <v>7.720216373741095E-8</v>
      </c>
      <c r="AL62" s="40"/>
    </row>
    <row r="63" spans="1:38" ht="15" customHeight="1" x14ac:dyDescent="0.25">
      <c r="A63" s="40"/>
      <c r="B63" s="40"/>
      <c r="C63" s="463"/>
      <c r="D63" s="464"/>
      <c r="E63" s="466"/>
      <c r="F63" s="463"/>
      <c r="G63" s="464"/>
      <c r="H63" s="464"/>
      <c r="I63" s="466"/>
      <c r="J63" s="466"/>
      <c r="K63" s="462"/>
      <c r="L63" s="464"/>
      <c r="M63" s="466"/>
      <c r="N63" s="462"/>
      <c r="O63" s="462"/>
      <c r="P63" s="462"/>
      <c r="Q63" s="40"/>
      <c r="R63" s="71">
        <v>0</v>
      </c>
      <c r="S63" s="444">
        <f>R63</f>
        <v>0</v>
      </c>
      <c r="T63" s="40"/>
      <c r="U63" s="68">
        <v>0</v>
      </c>
      <c r="V63" s="70">
        <f t="shared" si="53"/>
        <v>0</v>
      </c>
      <c r="W63" s="446" t="s">
        <v>83</v>
      </c>
      <c r="X63" s="467">
        <f>S63</f>
        <v>0</v>
      </c>
      <c r="Y63" s="70" t="str">
        <f t="shared" ref="Y63" si="62">E11</f>
        <v>-</v>
      </c>
      <c r="Z63" s="70">
        <v>0</v>
      </c>
      <c r="AA63" s="70" t="s">
        <v>83</v>
      </c>
      <c r="AB63" s="70"/>
      <c r="AC63" s="440" t="s">
        <v>83</v>
      </c>
      <c r="AD63" s="440"/>
      <c r="AE63" s="430" t="s">
        <v>83</v>
      </c>
      <c r="AF63" s="430" t="s">
        <v>83</v>
      </c>
      <c r="AG63" s="327" t="s">
        <v>83</v>
      </c>
      <c r="AH63" s="430" t="s">
        <v>83</v>
      </c>
      <c r="AI63" s="438" t="s">
        <v>83</v>
      </c>
      <c r="AJ63" s="438" t="s">
        <v>83</v>
      </c>
      <c r="AK63" s="40"/>
      <c r="AL63" s="40"/>
    </row>
    <row r="64" spans="1:38" x14ac:dyDescent="0.25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74" t="s">
        <v>102</v>
      </c>
      <c r="Y64" s="351" t="s">
        <v>95</v>
      </c>
      <c r="Z64" s="450">
        <f>SUM(Z57:Z63)</f>
        <v>1.3806947246626657</v>
      </c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</row>
    <row r="65" spans="1:38" ht="15" customHeight="1" x14ac:dyDescent="0.25">
      <c r="A65" s="40"/>
      <c r="B65" s="40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</row>
    <row r="66" spans="1:38" ht="15" customHeight="1" x14ac:dyDescent="0.25">
      <c r="A66" s="40"/>
      <c r="B66" s="40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</row>
    <row r="67" spans="1:38" ht="15.75" customHeight="1" x14ac:dyDescent="0.25">
      <c r="A67" s="40"/>
      <c r="B67" s="40"/>
      <c r="C67" s="13"/>
      <c r="D67" s="457"/>
      <c r="E67" s="457"/>
      <c r="F67" s="462"/>
      <c r="G67" s="457"/>
      <c r="H67" s="457"/>
      <c r="I67" s="457"/>
      <c r="J67" s="457"/>
      <c r="K67" s="462"/>
      <c r="L67" s="457"/>
      <c r="M67" s="457"/>
      <c r="N67" s="462"/>
      <c r="O67" s="576" t="s">
        <v>465</v>
      </c>
      <c r="P67" s="577" t="s">
        <v>466</v>
      </c>
      <c r="Q67" s="40"/>
      <c r="R67" s="900" t="s">
        <v>296</v>
      </c>
      <c r="S67" s="900"/>
      <c r="T67" s="40"/>
      <c r="U67" s="40"/>
      <c r="V67" s="40"/>
      <c r="W67" s="24"/>
      <c r="X67" s="24"/>
      <c r="Y67" s="475"/>
      <c r="Z67" s="475"/>
      <c r="AA67" s="475"/>
      <c r="AB67" s="475"/>
      <c r="AC67" s="475"/>
      <c r="AD67" s="475"/>
      <c r="AE67" s="40"/>
      <c r="AF67" s="40"/>
      <c r="AG67" s="40"/>
      <c r="AH67" s="40"/>
      <c r="AI67" s="40"/>
      <c r="AJ67" s="40"/>
      <c r="AK67" s="40"/>
      <c r="AL67" s="40"/>
    </row>
    <row r="68" spans="1:38" ht="15" customHeight="1" x14ac:dyDescent="0.25">
      <c r="A68" s="40"/>
      <c r="B68" s="40"/>
      <c r="C68" s="463"/>
      <c r="D68" s="464"/>
      <c r="E68" s="466"/>
      <c r="F68" s="462"/>
      <c r="G68" s="464"/>
      <c r="H68" s="464"/>
      <c r="I68" s="466"/>
      <c r="J68" s="466"/>
      <c r="K68" s="462"/>
      <c r="L68" s="464"/>
      <c r="M68" s="466"/>
      <c r="N68" s="462"/>
      <c r="O68" s="571">
        <v>6</v>
      </c>
      <c r="P68" s="572">
        <v>0</v>
      </c>
      <c r="Q68" s="40"/>
      <c r="R68" s="443" t="s">
        <v>298</v>
      </c>
      <c r="S68" s="70">
        <v>100</v>
      </c>
      <c r="T68" s="476" t="s">
        <v>290</v>
      </c>
      <c r="U68" s="40"/>
      <c r="V68" s="40"/>
      <c r="W68" s="24"/>
      <c r="X68" s="24"/>
      <c r="Y68" s="475"/>
      <c r="Z68" s="475"/>
      <c r="AA68" s="475"/>
      <c r="AB68" s="475"/>
      <c r="AC68" s="475"/>
      <c r="AD68" s="475"/>
      <c r="AE68" s="40"/>
      <c r="AF68" s="40"/>
      <c r="AG68" s="40"/>
      <c r="AH68" s="40"/>
      <c r="AI68" s="40"/>
      <c r="AJ68" s="40"/>
      <c r="AK68" s="40"/>
      <c r="AL68" s="40"/>
    </row>
    <row r="69" spans="1:38" x14ac:dyDescent="0.25">
      <c r="A69" s="40"/>
      <c r="B69" s="40"/>
      <c r="C69" s="463"/>
      <c r="D69" s="464"/>
      <c r="E69" s="466"/>
      <c r="F69" s="462"/>
      <c r="G69" s="464"/>
      <c r="H69" s="464"/>
      <c r="I69" s="466"/>
      <c r="J69" s="466"/>
      <c r="K69" s="462"/>
      <c r="L69" s="464"/>
      <c r="M69" s="466"/>
      <c r="N69" s="462"/>
      <c r="O69" s="571">
        <v>5</v>
      </c>
      <c r="P69" s="572">
        <v>0</v>
      </c>
      <c r="Q69" s="40"/>
      <c r="R69" s="578" t="s">
        <v>467</v>
      </c>
      <c r="S69" s="579">
        <f>(D5-X57)*1000</f>
        <v>4.7666864084333627E-6</v>
      </c>
      <c r="T69" s="40"/>
      <c r="U69" s="40"/>
      <c r="V69" s="40"/>
      <c r="W69" s="24"/>
      <c r="X69" s="24"/>
      <c r="Y69" s="475"/>
      <c r="Z69" s="475"/>
      <c r="AA69" s="475"/>
      <c r="AB69" s="475"/>
      <c r="AC69" s="475"/>
      <c r="AD69" s="475"/>
      <c r="AE69" s="40"/>
      <c r="AF69" s="40"/>
      <c r="AG69" s="40"/>
      <c r="AH69" s="40"/>
      <c r="AI69" s="40"/>
      <c r="AJ69" s="40"/>
      <c r="AK69" s="40"/>
      <c r="AL69" s="40"/>
    </row>
    <row r="70" spans="1:38" x14ac:dyDescent="0.25">
      <c r="A70" s="40"/>
      <c r="B70" s="40"/>
      <c r="C70" s="463"/>
      <c r="D70" s="464"/>
      <c r="E70" s="466"/>
      <c r="F70" s="462"/>
      <c r="G70" s="464"/>
      <c r="H70" s="464"/>
      <c r="I70" s="466"/>
      <c r="J70" s="466"/>
      <c r="K70" s="462"/>
      <c r="L70" s="464"/>
      <c r="M70" s="466"/>
      <c r="N70" s="462"/>
      <c r="O70" s="571">
        <v>4</v>
      </c>
      <c r="P70" s="572">
        <v>0</v>
      </c>
      <c r="Q70" s="40"/>
      <c r="R70" s="580" t="s">
        <v>468</v>
      </c>
      <c r="S70" s="580">
        <v>1E-4</v>
      </c>
      <c r="T70" s="40"/>
      <c r="U70" s="40"/>
      <c r="V70" s="40"/>
      <c r="W70" s="24"/>
      <c r="X70" s="24"/>
      <c r="Y70" s="475"/>
      <c r="Z70" s="475"/>
      <c r="AA70" s="475"/>
      <c r="AB70" s="475"/>
      <c r="AC70" s="475"/>
      <c r="AD70" s="475"/>
      <c r="AE70" s="40"/>
      <c r="AF70" s="40"/>
      <c r="AG70" s="40"/>
      <c r="AH70" s="40"/>
      <c r="AI70" s="40"/>
      <c r="AJ70" s="40"/>
      <c r="AK70" s="40"/>
      <c r="AL70" s="40"/>
    </row>
    <row r="71" spans="1:38" x14ac:dyDescent="0.25">
      <c r="A71" s="40"/>
      <c r="B71" s="40"/>
      <c r="C71" s="463"/>
      <c r="D71" s="464"/>
      <c r="E71" s="466"/>
      <c r="F71" s="462"/>
      <c r="G71" s="464"/>
      <c r="H71" s="464"/>
      <c r="I71" s="466"/>
      <c r="J71" s="466"/>
      <c r="K71" s="462"/>
      <c r="L71" s="464"/>
      <c r="M71" s="466"/>
      <c r="N71" s="462"/>
      <c r="O71" s="573">
        <v>3</v>
      </c>
      <c r="P71" s="572">
        <v>0</v>
      </c>
      <c r="Q71" s="40"/>
      <c r="R71" s="40"/>
      <c r="S71" s="40"/>
      <c r="T71" s="40"/>
      <c r="U71" s="40"/>
      <c r="V71" s="40"/>
      <c r="W71" s="24"/>
      <c r="X71" s="24"/>
      <c r="Y71" s="475"/>
      <c r="Z71" s="475"/>
      <c r="AA71" s="475"/>
      <c r="AB71" s="475"/>
      <c r="AC71" s="475"/>
      <c r="AD71" s="475"/>
      <c r="AE71" s="40"/>
      <c r="AF71" s="40"/>
      <c r="AG71" s="40"/>
      <c r="AH71" s="40"/>
      <c r="AI71" s="40"/>
      <c r="AJ71" s="40"/>
      <c r="AK71" s="40"/>
      <c r="AL71" s="40"/>
    </row>
    <row r="72" spans="1:38" x14ac:dyDescent="0.25">
      <c r="A72" s="40"/>
      <c r="B72" s="40"/>
      <c r="C72" s="463"/>
      <c r="D72" s="464"/>
      <c r="E72" s="466"/>
      <c r="F72" s="462"/>
      <c r="G72" s="464"/>
      <c r="H72" s="464"/>
      <c r="I72" s="466"/>
      <c r="J72" s="466"/>
      <c r="K72" s="462"/>
      <c r="L72" s="464"/>
      <c r="M72" s="466"/>
      <c r="N72" s="462"/>
      <c r="O72" s="573">
        <v>2</v>
      </c>
      <c r="P72" s="572">
        <v>0</v>
      </c>
      <c r="Q72" s="40"/>
      <c r="R72" s="40"/>
      <c r="S72" s="40"/>
      <c r="T72" s="40"/>
      <c r="U72" s="40"/>
      <c r="V72" s="40"/>
      <c r="W72" s="24"/>
      <c r="X72" s="24"/>
      <c r="Y72" s="475"/>
      <c r="Z72" s="475"/>
      <c r="AA72" s="475"/>
      <c r="AB72" s="475"/>
      <c r="AC72" s="475"/>
      <c r="AD72" s="475"/>
      <c r="AE72" s="40"/>
      <c r="AF72" s="40"/>
      <c r="AG72" s="40"/>
      <c r="AH72" s="40"/>
      <c r="AI72" s="40"/>
      <c r="AJ72" s="40"/>
      <c r="AK72" s="40"/>
      <c r="AL72" s="40"/>
    </row>
    <row r="73" spans="1:38" x14ac:dyDescent="0.25">
      <c r="A73" s="40"/>
      <c r="B73" s="40"/>
      <c r="C73" s="463"/>
      <c r="D73" s="464"/>
      <c r="E73" s="466"/>
      <c r="F73" s="462"/>
      <c r="G73" s="464"/>
      <c r="H73" s="464"/>
      <c r="I73" s="466"/>
      <c r="J73" s="466"/>
      <c r="K73" s="462"/>
      <c r="L73" s="464"/>
      <c r="M73" s="466"/>
      <c r="N73" s="462"/>
      <c r="O73" s="574">
        <v>1</v>
      </c>
      <c r="P73" s="575">
        <v>0</v>
      </c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</row>
    <row r="74" spans="1:38" x14ac:dyDescent="0.25">
      <c r="A74" s="40"/>
      <c r="B74" s="40"/>
      <c r="C74" s="463"/>
      <c r="D74" s="464"/>
      <c r="E74" s="466"/>
      <c r="F74" s="462"/>
      <c r="G74" s="464"/>
      <c r="H74" s="464"/>
      <c r="I74" s="466"/>
      <c r="J74" s="466"/>
      <c r="K74" s="462"/>
      <c r="L74" s="464"/>
      <c r="M74" s="466"/>
      <c r="N74" s="462"/>
      <c r="O74" s="462"/>
      <c r="P74" s="462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</row>
    <row r="75" spans="1:38" x14ac:dyDescent="0.25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</row>
    <row r="76" spans="1:38" x14ac:dyDescent="0.25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</row>
    <row r="77" spans="1:38" x14ac:dyDescent="0.25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</row>
    <row r="78" spans="1:38" x14ac:dyDescent="0.25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</row>
    <row r="79" spans="1:38" x14ac:dyDescent="0.25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</row>
    <row r="80" spans="1:38" ht="15" customHeight="1" x14ac:dyDescent="0.25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</row>
    <row r="81" spans="1:38" ht="15" customHeight="1" x14ac:dyDescent="0.25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</row>
    <row r="82" spans="1:38" x14ac:dyDescent="0.25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</row>
    <row r="83" spans="1:38" x14ac:dyDescent="0.25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</row>
    <row r="84" spans="1:38" x14ac:dyDescent="0.25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</row>
    <row r="85" spans="1:38" x14ac:dyDescent="0.2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</row>
    <row r="86" spans="1:38" x14ac:dyDescent="0.25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</row>
    <row r="87" spans="1:38" x14ac:dyDescent="0.25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</row>
    <row r="88" spans="1:38" x14ac:dyDescent="0.25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</row>
    <row r="89" spans="1:38" x14ac:dyDescent="0.25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</row>
    <row r="90" spans="1:38" x14ac:dyDescent="0.25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</row>
    <row r="91" spans="1:38" x14ac:dyDescent="0.25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</row>
    <row r="93" spans="1:38" x14ac:dyDescent="0.25"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8" x14ac:dyDescent="0.25">
      <c r="R94" s="477"/>
      <c r="S94" s="478"/>
      <c r="U94" s="478"/>
      <c r="V94" s="478"/>
      <c r="W94" s="478"/>
      <c r="X94" s="477"/>
      <c r="Y94" s="478"/>
      <c r="Z94" s="478"/>
      <c r="AA94" s="477"/>
      <c r="AB94" s="477"/>
      <c r="AC94" s="477"/>
      <c r="AD94" s="477"/>
      <c r="AE94" s="477"/>
      <c r="AF94" s="477"/>
      <c r="AG94" s="477"/>
      <c r="AH94" s="477"/>
      <c r="AI94" s="477"/>
      <c r="AJ94" s="477"/>
    </row>
    <row r="95" spans="1:38" x14ac:dyDescent="0.25">
      <c r="R95" s="477"/>
      <c r="S95" s="478"/>
      <c r="U95" s="478"/>
      <c r="V95" s="478"/>
      <c r="W95" s="478"/>
      <c r="X95" s="477"/>
      <c r="Y95" s="478"/>
      <c r="Z95" s="478"/>
      <c r="AA95" s="477"/>
      <c r="AB95" s="477"/>
      <c r="AC95" s="477"/>
      <c r="AD95" s="477"/>
      <c r="AE95" s="477"/>
      <c r="AF95" s="477"/>
      <c r="AG95" s="477"/>
      <c r="AH95" s="477"/>
      <c r="AI95" s="477"/>
      <c r="AJ95" s="477"/>
    </row>
    <row r="96" spans="1:38" x14ac:dyDescent="0.25">
      <c r="R96" s="56"/>
      <c r="S96" s="479"/>
      <c r="U96" s="16"/>
      <c r="V96" s="19"/>
      <c r="W96" s="56"/>
      <c r="X96" s="480"/>
      <c r="Y96" s="19"/>
      <c r="Z96" s="19"/>
      <c r="AA96" s="19"/>
      <c r="AB96" s="19"/>
      <c r="AC96" s="481"/>
      <c r="AD96" s="481"/>
      <c r="AE96" s="26"/>
      <c r="AF96" s="482"/>
      <c r="AG96" s="56"/>
      <c r="AH96" s="27"/>
      <c r="AI96" s="27"/>
      <c r="AJ96" s="27"/>
    </row>
    <row r="97" spans="18:36" x14ac:dyDescent="0.25">
      <c r="R97" s="56"/>
      <c r="S97" s="479"/>
      <c r="U97" s="16"/>
      <c r="V97" s="19"/>
      <c r="W97" s="56"/>
      <c r="X97" s="480"/>
      <c r="Y97" s="19"/>
      <c r="Z97" s="19"/>
      <c r="AA97" s="19"/>
      <c r="AB97" s="19"/>
      <c r="AC97" s="481"/>
      <c r="AD97" s="481"/>
      <c r="AE97" s="26"/>
      <c r="AF97" s="482"/>
      <c r="AG97" s="56"/>
      <c r="AH97" s="27"/>
      <c r="AI97" s="27"/>
      <c r="AJ97" s="27"/>
    </row>
    <row r="98" spans="18:36" x14ac:dyDescent="0.25">
      <c r="R98" s="56"/>
      <c r="S98" s="479"/>
      <c r="U98" s="16"/>
      <c r="V98" s="19"/>
      <c r="W98" s="56"/>
      <c r="X98" s="480"/>
      <c r="Y98" s="19"/>
      <c r="Z98" s="19"/>
      <c r="AA98" s="19"/>
      <c r="AB98" s="19"/>
      <c r="AC98" s="481"/>
      <c r="AD98" s="481"/>
      <c r="AE98" s="26"/>
      <c r="AF98" s="482"/>
      <c r="AG98" s="56"/>
      <c r="AH98" s="27"/>
      <c r="AI98" s="27"/>
      <c r="AJ98" s="27"/>
    </row>
    <row r="99" spans="18:36" x14ac:dyDescent="0.25">
      <c r="R99" s="56"/>
      <c r="S99" s="479"/>
      <c r="U99" s="16"/>
      <c r="V99" s="19"/>
      <c r="W99" s="56"/>
      <c r="X99" s="480"/>
      <c r="Y99" s="19"/>
      <c r="Z99" s="19"/>
      <c r="AA99" s="19"/>
      <c r="AB99" s="19"/>
      <c r="AC99" s="481"/>
      <c r="AD99" s="481"/>
      <c r="AE99" s="26"/>
      <c r="AF99" s="482"/>
      <c r="AG99" s="56"/>
      <c r="AH99" s="27"/>
      <c r="AI99" s="27"/>
      <c r="AJ99" s="27"/>
    </row>
    <row r="100" spans="18:36" x14ac:dyDescent="0.25">
      <c r="R100" s="56"/>
      <c r="S100" s="479"/>
      <c r="U100" s="16"/>
      <c r="V100" s="19"/>
      <c r="W100" s="56"/>
      <c r="X100" s="480"/>
      <c r="Y100" s="19"/>
      <c r="Z100" s="19"/>
      <c r="AA100" s="19"/>
      <c r="AB100" s="19"/>
      <c r="AC100" s="481"/>
      <c r="AD100" s="481"/>
      <c r="AE100" s="26"/>
      <c r="AF100" s="482"/>
      <c r="AG100" s="56"/>
      <c r="AH100" s="27"/>
      <c r="AI100" s="27"/>
      <c r="AJ100" s="27"/>
    </row>
    <row r="101" spans="18:36" x14ac:dyDescent="0.25">
      <c r="R101" s="56"/>
      <c r="S101" s="479"/>
      <c r="U101" s="16"/>
      <c r="V101" s="19"/>
      <c r="W101" s="56"/>
      <c r="X101" s="480"/>
      <c r="Y101" s="19"/>
      <c r="Z101" s="19"/>
      <c r="AA101" s="19"/>
      <c r="AB101" s="19"/>
      <c r="AC101" s="481"/>
      <c r="AD101" s="481"/>
      <c r="AE101" s="26"/>
      <c r="AF101" s="482"/>
      <c r="AG101" s="56"/>
      <c r="AH101" s="27"/>
      <c r="AI101" s="27"/>
      <c r="AJ101" s="27"/>
    </row>
    <row r="102" spans="18:36" x14ac:dyDescent="0.25">
      <c r="R102" s="56"/>
      <c r="S102" s="479"/>
      <c r="U102" s="16"/>
      <c r="V102" s="19"/>
      <c r="W102" s="483"/>
      <c r="X102" s="480"/>
      <c r="Y102" s="19"/>
      <c r="Z102" s="19"/>
      <c r="AA102" s="19"/>
      <c r="AB102" s="19"/>
      <c r="AC102" s="481"/>
      <c r="AD102" s="481"/>
      <c r="AE102" s="26"/>
      <c r="AF102" s="26"/>
      <c r="AG102" s="250"/>
      <c r="AH102" s="26"/>
      <c r="AI102" s="26"/>
      <c r="AJ102" s="26"/>
    </row>
    <row r="103" spans="18:36" x14ac:dyDescent="0.25">
      <c r="X103" s="484"/>
      <c r="Y103" s="373"/>
      <c r="Z103" s="485"/>
    </row>
    <row r="106" spans="18:36" x14ac:dyDescent="0.25"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8:36" x14ac:dyDescent="0.25">
      <c r="R107" s="477"/>
      <c r="S107" s="478"/>
      <c r="U107" s="478"/>
      <c r="V107" s="478"/>
      <c r="W107" s="478"/>
      <c r="X107" s="477"/>
      <c r="Y107" s="478"/>
      <c r="Z107" s="478"/>
      <c r="AA107" s="477"/>
      <c r="AB107" s="477"/>
      <c r="AC107" s="477"/>
      <c r="AD107" s="477"/>
      <c r="AE107" s="477"/>
      <c r="AF107" s="477"/>
      <c r="AG107" s="477"/>
      <c r="AH107" s="477"/>
      <c r="AI107" s="477"/>
      <c r="AJ107" s="477"/>
    </row>
    <row r="108" spans="18:36" x14ac:dyDescent="0.25">
      <c r="R108" s="477"/>
      <c r="S108" s="478"/>
      <c r="U108" s="478"/>
      <c r="V108" s="478"/>
      <c r="W108" s="478"/>
      <c r="X108" s="477"/>
      <c r="Y108" s="478"/>
      <c r="Z108" s="478"/>
      <c r="AA108" s="477"/>
      <c r="AB108" s="477"/>
      <c r="AC108" s="477"/>
      <c r="AD108" s="477"/>
      <c r="AE108" s="477"/>
      <c r="AF108" s="477"/>
      <c r="AG108" s="477"/>
      <c r="AH108" s="477"/>
      <c r="AI108" s="477"/>
      <c r="AJ108" s="477"/>
    </row>
    <row r="109" spans="18:36" x14ac:dyDescent="0.25">
      <c r="R109" s="56"/>
      <c r="S109" s="479"/>
      <c r="U109" s="16"/>
      <c r="V109" s="19"/>
      <c r="W109" s="56"/>
      <c r="X109" s="480"/>
      <c r="Y109" s="19"/>
      <c r="Z109" s="19"/>
      <c r="AA109" s="19"/>
      <c r="AB109" s="19"/>
      <c r="AC109" s="481"/>
      <c r="AD109" s="481"/>
      <c r="AE109" s="26"/>
      <c r="AF109" s="482"/>
      <c r="AG109" s="56"/>
      <c r="AH109" s="27"/>
      <c r="AI109" s="27"/>
      <c r="AJ109" s="27"/>
    </row>
    <row r="110" spans="18:36" x14ac:dyDescent="0.25">
      <c r="R110" s="56"/>
      <c r="S110" s="479"/>
      <c r="U110" s="16"/>
      <c r="V110" s="19"/>
      <c r="W110" s="56"/>
      <c r="X110" s="480"/>
      <c r="Y110" s="19"/>
      <c r="Z110" s="19"/>
      <c r="AA110" s="19"/>
      <c r="AB110" s="19"/>
      <c r="AC110" s="481"/>
      <c r="AD110" s="481"/>
      <c r="AE110" s="26"/>
      <c r="AF110" s="482"/>
      <c r="AG110" s="56"/>
      <c r="AH110" s="27"/>
      <c r="AI110" s="27"/>
      <c r="AJ110" s="27"/>
    </row>
    <row r="111" spans="18:36" x14ac:dyDescent="0.25">
      <c r="R111" s="56"/>
      <c r="S111" s="479"/>
      <c r="U111" s="16"/>
      <c r="V111" s="19"/>
      <c r="W111" s="56"/>
      <c r="X111" s="480"/>
      <c r="Y111" s="19"/>
      <c r="Z111" s="19"/>
      <c r="AA111" s="19"/>
      <c r="AB111" s="19"/>
      <c r="AC111" s="481"/>
      <c r="AD111" s="481"/>
      <c r="AE111" s="26"/>
      <c r="AF111" s="482"/>
      <c r="AG111" s="56"/>
      <c r="AH111" s="27"/>
      <c r="AI111" s="27"/>
      <c r="AJ111" s="27"/>
    </row>
    <row r="112" spans="18:36" x14ac:dyDescent="0.25">
      <c r="R112" s="56"/>
      <c r="S112" s="479"/>
      <c r="U112" s="16"/>
      <c r="V112" s="19"/>
      <c r="W112" s="56"/>
      <c r="X112" s="480"/>
      <c r="Y112" s="19"/>
      <c r="Z112" s="19"/>
      <c r="AA112" s="19"/>
      <c r="AB112" s="19"/>
      <c r="AC112" s="481"/>
      <c r="AD112" s="481"/>
      <c r="AE112" s="26"/>
      <c r="AF112" s="482"/>
      <c r="AG112" s="56"/>
      <c r="AH112" s="27"/>
      <c r="AI112" s="27"/>
      <c r="AJ112" s="27"/>
    </row>
    <row r="113" spans="18:36" x14ac:dyDescent="0.25">
      <c r="R113" s="483"/>
      <c r="S113" s="479"/>
      <c r="U113" s="16"/>
      <c r="V113" s="19"/>
      <c r="W113" s="56"/>
      <c r="X113" s="480"/>
      <c r="Y113" s="19"/>
      <c r="Z113" s="19"/>
      <c r="AA113" s="19"/>
      <c r="AB113" s="19"/>
      <c r="AC113" s="481"/>
      <c r="AD113" s="481"/>
      <c r="AE113" s="26"/>
      <c r="AF113" s="482"/>
      <c r="AG113" s="56"/>
      <c r="AH113" s="27"/>
      <c r="AI113" s="27"/>
      <c r="AJ113" s="27"/>
    </row>
    <row r="114" spans="18:36" x14ac:dyDescent="0.25">
      <c r="R114" s="56"/>
      <c r="S114" s="479"/>
      <c r="U114" s="16"/>
      <c r="V114" s="19"/>
      <c r="W114" s="56"/>
      <c r="X114" s="480"/>
      <c r="Y114" s="19"/>
      <c r="Z114" s="19"/>
      <c r="AA114" s="19"/>
      <c r="AB114" s="19"/>
      <c r="AC114" s="481"/>
      <c r="AD114" s="481"/>
      <c r="AE114" s="26"/>
      <c r="AF114" s="482"/>
      <c r="AG114" s="56"/>
      <c r="AH114" s="27"/>
      <c r="AI114" s="27"/>
      <c r="AJ114" s="27"/>
    </row>
    <row r="115" spans="18:36" x14ac:dyDescent="0.25">
      <c r="R115" s="56"/>
      <c r="S115" s="479"/>
      <c r="U115" s="16"/>
      <c r="V115" s="19"/>
      <c r="W115" s="483"/>
      <c r="X115" s="480"/>
      <c r="Y115" s="19"/>
      <c r="Z115" s="19"/>
      <c r="AA115" s="19"/>
      <c r="AB115" s="19"/>
      <c r="AC115" s="481"/>
      <c r="AD115" s="481"/>
      <c r="AE115" s="26"/>
      <c r="AF115" s="26"/>
      <c r="AG115" s="250"/>
      <c r="AH115" s="26"/>
      <c r="AI115" s="26"/>
      <c r="AJ115" s="26"/>
    </row>
    <row r="116" spans="18:36" x14ac:dyDescent="0.25">
      <c r="X116" s="484"/>
      <c r="Y116" s="373"/>
      <c r="Z116" s="485"/>
    </row>
    <row r="119" spans="18:36" x14ac:dyDescent="0.25"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8:36" x14ac:dyDescent="0.25">
      <c r="R120" s="477"/>
      <c r="S120" s="478"/>
      <c r="U120" s="478"/>
      <c r="V120" s="478"/>
      <c r="W120" s="478"/>
      <c r="X120" s="477"/>
      <c r="Y120" s="478"/>
      <c r="Z120" s="478"/>
      <c r="AA120" s="477"/>
      <c r="AB120" s="477"/>
      <c r="AC120" s="477"/>
      <c r="AD120" s="477"/>
      <c r="AE120" s="477"/>
      <c r="AF120" s="477"/>
      <c r="AG120" s="477"/>
      <c r="AH120" s="477"/>
      <c r="AI120" s="477"/>
      <c r="AJ120" s="477"/>
    </row>
    <row r="121" spans="18:36" x14ac:dyDescent="0.25">
      <c r="R121" s="477"/>
      <c r="S121" s="478"/>
      <c r="U121" s="478"/>
      <c r="V121" s="478"/>
      <c r="W121" s="478"/>
      <c r="X121" s="477"/>
      <c r="Y121" s="478"/>
      <c r="Z121" s="478"/>
      <c r="AA121" s="477"/>
      <c r="AB121" s="477"/>
      <c r="AC121" s="477"/>
      <c r="AD121" s="477"/>
      <c r="AE121" s="477"/>
      <c r="AF121" s="477"/>
      <c r="AG121" s="477"/>
      <c r="AH121" s="477"/>
      <c r="AI121" s="477"/>
      <c r="AJ121" s="477"/>
    </row>
    <row r="122" spans="18:36" x14ac:dyDescent="0.25">
      <c r="R122" s="56"/>
      <c r="S122" s="479"/>
      <c r="U122" s="16"/>
      <c r="V122" s="19"/>
      <c r="W122" s="56"/>
      <c r="X122" s="480"/>
      <c r="Y122" s="19"/>
      <c r="Z122" s="19"/>
      <c r="AA122" s="19"/>
      <c r="AB122" s="19"/>
      <c r="AC122" s="481"/>
      <c r="AD122" s="481"/>
      <c r="AE122" s="26"/>
      <c r="AF122" s="482"/>
      <c r="AG122" s="56"/>
      <c r="AH122" s="27"/>
      <c r="AI122" s="27"/>
      <c r="AJ122" s="27"/>
    </row>
    <row r="123" spans="18:36" x14ac:dyDescent="0.25">
      <c r="R123" s="56"/>
      <c r="S123" s="479"/>
      <c r="U123" s="16"/>
      <c r="V123" s="19"/>
      <c r="W123" s="56"/>
      <c r="X123" s="480"/>
      <c r="Y123" s="19"/>
      <c r="Z123" s="19"/>
      <c r="AA123" s="19"/>
      <c r="AB123" s="19"/>
      <c r="AC123" s="481"/>
      <c r="AD123" s="481"/>
      <c r="AE123" s="26"/>
      <c r="AF123" s="482"/>
      <c r="AG123" s="56"/>
      <c r="AH123" s="27"/>
      <c r="AI123" s="27"/>
      <c r="AJ123" s="27"/>
    </row>
    <row r="124" spans="18:36" x14ac:dyDescent="0.25">
      <c r="R124" s="56"/>
      <c r="S124" s="479"/>
      <c r="U124" s="16"/>
      <c r="V124" s="19"/>
      <c r="W124" s="56"/>
      <c r="X124" s="480"/>
      <c r="Y124" s="19"/>
      <c r="Z124" s="19"/>
      <c r="AA124" s="19"/>
      <c r="AB124" s="19"/>
      <c r="AC124" s="481"/>
      <c r="AD124" s="481"/>
      <c r="AE124" s="26"/>
      <c r="AF124" s="482"/>
      <c r="AG124" s="56"/>
      <c r="AH124" s="27"/>
      <c r="AI124" s="27"/>
      <c r="AJ124" s="27"/>
    </row>
    <row r="125" spans="18:36" x14ac:dyDescent="0.25">
      <c r="R125" s="56"/>
      <c r="S125" s="479"/>
      <c r="U125" s="16"/>
      <c r="V125" s="19"/>
      <c r="W125" s="56"/>
      <c r="X125" s="480"/>
      <c r="Y125" s="19"/>
      <c r="Z125" s="19"/>
      <c r="AA125" s="19"/>
      <c r="AB125" s="19"/>
      <c r="AC125" s="481"/>
      <c r="AD125" s="481"/>
      <c r="AE125" s="26"/>
      <c r="AF125" s="482"/>
      <c r="AG125" s="56"/>
      <c r="AH125" s="27"/>
      <c r="AI125" s="27"/>
      <c r="AJ125" s="27"/>
    </row>
    <row r="126" spans="18:36" x14ac:dyDescent="0.25">
      <c r="R126" s="486"/>
      <c r="S126" s="479"/>
      <c r="U126" s="16"/>
      <c r="V126" s="19"/>
      <c r="W126" s="56"/>
      <c r="X126" s="480"/>
      <c r="Y126" s="19"/>
      <c r="Z126" s="19"/>
      <c r="AA126" s="19"/>
      <c r="AB126" s="19"/>
      <c r="AC126" s="481"/>
      <c r="AD126" s="481"/>
      <c r="AE126" s="26"/>
      <c r="AF126" s="482"/>
      <c r="AG126" s="56"/>
      <c r="AH126" s="27"/>
      <c r="AI126" s="27"/>
      <c r="AJ126" s="27"/>
    </row>
    <row r="127" spans="18:36" x14ac:dyDescent="0.25">
      <c r="R127" s="56"/>
      <c r="S127" s="479"/>
      <c r="U127" s="16"/>
      <c r="V127" s="19"/>
      <c r="W127" s="56"/>
      <c r="X127" s="480"/>
      <c r="Y127" s="19"/>
      <c r="Z127" s="19"/>
      <c r="AA127" s="19"/>
      <c r="AB127" s="19"/>
      <c r="AC127" s="481"/>
      <c r="AD127" s="481"/>
      <c r="AE127" s="26"/>
      <c r="AF127" s="482"/>
      <c r="AG127" s="56"/>
      <c r="AH127" s="27"/>
      <c r="AI127" s="27"/>
      <c r="AJ127" s="27"/>
    </row>
    <row r="128" spans="18:36" x14ac:dyDescent="0.25">
      <c r="R128" s="56"/>
      <c r="S128" s="479"/>
      <c r="U128" s="16"/>
      <c r="V128" s="19"/>
      <c r="W128" s="483"/>
      <c r="X128" s="480"/>
      <c r="Y128" s="19"/>
      <c r="Z128" s="19"/>
      <c r="AA128" s="19"/>
      <c r="AB128" s="19"/>
      <c r="AC128" s="481"/>
      <c r="AD128" s="481"/>
      <c r="AE128" s="26"/>
      <c r="AF128" s="26"/>
      <c r="AG128" s="250"/>
      <c r="AH128" s="26"/>
      <c r="AI128" s="26"/>
      <c r="AJ128" s="26"/>
    </row>
    <row r="129" spans="18:36" x14ac:dyDescent="0.25">
      <c r="X129" s="484"/>
      <c r="Y129" s="373"/>
      <c r="Z129" s="485"/>
    </row>
    <row r="132" spans="18:36" x14ac:dyDescent="0.25"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8:36" x14ac:dyDescent="0.25">
      <c r="R133" s="477"/>
      <c r="S133" s="478"/>
      <c r="U133" s="478"/>
      <c r="V133" s="478"/>
      <c r="W133" s="478"/>
      <c r="X133" s="477"/>
      <c r="Y133" s="478"/>
      <c r="Z133" s="478"/>
      <c r="AA133" s="477"/>
      <c r="AB133" s="477"/>
      <c r="AC133" s="477"/>
      <c r="AD133" s="477"/>
      <c r="AE133" s="477"/>
      <c r="AF133" s="477"/>
      <c r="AG133" s="477"/>
      <c r="AH133" s="477"/>
      <c r="AI133" s="477"/>
      <c r="AJ133" s="477"/>
    </row>
    <row r="134" spans="18:36" x14ac:dyDescent="0.25">
      <c r="R134" s="477"/>
      <c r="S134" s="478"/>
      <c r="U134" s="478"/>
      <c r="V134" s="478"/>
      <c r="W134" s="478"/>
      <c r="X134" s="477"/>
      <c r="Y134" s="478"/>
      <c r="Z134" s="478"/>
      <c r="AA134" s="477"/>
      <c r="AB134" s="477"/>
      <c r="AC134" s="477"/>
      <c r="AD134" s="477"/>
      <c r="AE134" s="477"/>
      <c r="AF134" s="477"/>
      <c r="AG134" s="477"/>
      <c r="AH134" s="477"/>
      <c r="AI134" s="477"/>
      <c r="AJ134" s="477"/>
    </row>
    <row r="135" spans="18:36" x14ac:dyDescent="0.25">
      <c r="R135" s="56"/>
      <c r="S135" s="479"/>
      <c r="U135" s="16"/>
      <c r="V135" s="19"/>
      <c r="W135" s="56"/>
      <c r="X135" s="480"/>
      <c r="Y135" s="19"/>
      <c r="Z135" s="19"/>
      <c r="AA135" s="19"/>
      <c r="AB135" s="19"/>
      <c r="AC135" s="481"/>
      <c r="AD135" s="481"/>
      <c r="AE135" s="26"/>
      <c r="AF135" s="482"/>
      <c r="AG135" s="56"/>
      <c r="AH135" s="27"/>
      <c r="AI135" s="27"/>
      <c r="AJ135" s="27"/>
    </row>
    <row r="136" spans="18:36" x14ac:dyDescent="0.25">
      <c r="R136" s="56"/>
      <c r="S136" s="479"/>
      <c r="U136" s="16"/>
      <c r="V136" s="19"/>
      <c r="W136" s="56"/>
      <c r="X136" s="480"/>
      <c r="Y136" s="19"/>
      <c r="Z136" s="19"/>
      <c r="AA136" s="19"/>
      <c r="AB136" s="19"/>
      <c r="AC136" s="481"/>
      <c r="AD136" s="481"/>
      <c r="AE136" s="26"/>
      <c r="AF136" s="482"/>
      <c r="AG136" s="56"/>
      <c r="AH136" s="27"/>
      <c r="AI136" s="27"/>
      <c r="AJ136" s="27"/>
    </row>
    <row r="137" spans="18:36" x14ac:dyDescent="0.25">
      <c r="R137" s="56"/>
      <c r="S137" s="479"/>
      <c r="U137" s="16"/>
      <c r="V137" s="19"/>
      <c r="W137" s="56"/>
      <c r="X137" s="480"/>
      <c r="Y137" s="19"/>
      <c r="Z137" s="19"/>
      <c r="AA137" s="19"/>
      <c r="AB137" s="19"/>
      <c r="AC137" s="481"/>
      <c r="AD137" s="481"/>
      <c r="AE137" s="26"/>
      <c r="AF137" s="482"/>
      <c r="AG137" s="56"/>
      <c r="AH137" s="27"/>
      <c r="AI137" s="27"/>
      <c r="AJ137" s="27"/>
    </row>
    <row r="138" spans="18:36" x14ac:dyDescent="0.25">
      <c r="R138" s="56"/>
      <c r="S138" s="479"/>
      <c r="U138" s="16"/>
      <c r="V138" s="19"/>
      <c r="W138" s="56"/>
      <c r="X138" s="480"/>
      <c r="Y138" s="19"/>
      <c r="Z138" s="19"/>
      <c r="AA138" s="19"/>
      <c r="AB138" s="19"/>
      <c r="AC138" s="481"/>
      <c r="AD138" s="481"/>
      <c r="AE138" s="26"/>
      <c r="AF138" s="482"/>
      <c r="AG138" s="56"/>
      <c r="AH138" s="27"/>
      <c r="AI138" s="27"/>
      <c r="AJ138" s="27"/>
    </row>
    <row r="139" spans="18:36" x14ac:dyDescent="0.25">
      <c r="R139" s="56"/>
      <c r="S139" s="479"/>
      <c r="U139" s="16"/>
      <c r="V139" s="19"/>
      <c r="W139" s="56"/>
      <c r="X139" s="480"/>
      <c r="Y139" s="19"/>
      <c r="Z139" s="19"/>
      <c r="AA139" s="19"/>
      <c r="AB139" s="19"/>
      <c r="AC139" s="481"/>
      <c r="AD139" s="481"/>
      <c r="AE139" s="26"/>
      <c r="AF139" s="482"/>
      <c r="AG139" s="56"/>
      <c r="AH139" s="27"/>
      <c r="AI139" s="27"/>
      <c r="AJ139" s="27"/>
    </row>
    <row r="140" spans="18:36" x14ac:dyDescent="0.25">
      <c r="R140" s="56"/>
      <c r="S140" s="479"/>
      <c r="U140" s="16"/>
      <c r="V140" s="19"/>
      <c r="W140" s="56"/>
      <c r="X140" s="480"/>
      <c r="Y140" s="19"/>
      <c r="Z140" s="19"/>
      <c r="AA140" s="19"/>
      <c r="AB140" s="19"/>
      <c r="AC140" s="481"/>
      <c r="AD140" s="481"/>
      <c r="AE140" s="26"/>
      <c r="AF140" s="482"/>
      <c r="AG140" s="56"/>
      <c r="AH140" s="27"/>
      <c r="AI140" s="27"/>
      <c r="AJ140" s="27"/>
    </row>
    <row r="141" spans="18:36" x14ac:dyDescent="0.25">
      <c r="R141" s="56"/>
      <c r="S141" s="479"/>
      <c r="U141" s="16"/>
      <c r="V141" s="19"/>
      <c r="W141" s="483"/>
      <c r="X141" s="480"/>
      <c r="Y141" s="19"/>
      <c r="Z141" s="19"/>
      <c r="AA141" s="19"/>
      <c r="AB141" s="19"/>
      <c r="AC141" s="481"/>
      <c r="AD141" s="481"/>
      <c r="AE141" s="26"/>
      <c r="AF141" s="26"/>
      <c r="AG141" s="250"/>
      <c r="AH141" s="26"/>
      <c r="AI141" s="26"/>
      <c r="AJ141" s="26"/>
    </row>
    <row r="142" spans="18:36" x14ac:dyDescent="0.25">
      <c r="X142" s="484"/>
      <c r="Y142" s="373"/>
      <c r="Z142" s="485"/>
    </row>
  </sheetData>
  <mergeCells count="134">
    <mergeCell ref="AI29:AI30"/>
    <mergeCell ref="AB16:AB17"/>
    <mergeCell ref="AD16:AD17"/>
    <mergeCell ref="AB29:AB30"/>
    <mergeCell ref="AD29:AD30"/>
    <mergeCell ref="E54:I54"/>
    <mergeCell ref="R2:S2"/>
    <mergeCell ref="R28:S28"/>
    <mergeCell ref="R29:R30"/>
    <mergeCell ref="S29:S30"/>
    <mergeCell ref="U29:U30"/>
    <mergeCell ref="AE29:AE30"/>
    <mergeCell ref="Y16:Y17"/>
    <mergeCell ref="R15:S15"/>
    <mergeCell ref="U16:U17"/>
    <mergeCell ref="V16:V17"/>
    <mergeCell ref="AI42:AI43"/>
    <mergeCell ref="AI55:AI56"/>
    <mergeCell ref="B34:B35"/>
    <mergeCell ref="C34:C35"/>
    <mergeCell ref="B33:C33"/>
    <mergeCell ref="B30:C30"/>
    <mergeCell ref="K14:L14"/>
    <mergeCell ref="W16:W17"/>
    <mergeCell ref="B28:C28"/>
    <mergeCell ref="AI16:AI17"/>
    <mergeCell ref="B27:C27"/>
    <mergeCell ref="B26:C26"/>
    <mergeCell ref="B24:D24"/>
    <mergeCell ref="B14:G14"/>
    <mergeCell ref="AE16:AE17"/>
    <mergeCell ref="Z42:Z43"/>
    <mergeCell ref="AA42:AA43"/>
    <mergeCell ref="AC42:AC43"/>
    <mergeCell ref="R42:R43"/>
    <mergeCell ref="S42:S43"/>
    <mergeCell ref="U42:U43"/>
    <mergeCell ref="V42:V43"/>
    <mergeCell ref="AB3:AB4"/>
    <mergeCell ref="AD3:AD4"/>
    <mergeCell ref="AK55:AK56"/>
    <mergeCell ref="AK42:AK43"/>
    <mergeCell ref="AK29:AK30"/>
    <mergeCell ref="AK16:AK17"/>
    <mergeCell ref="AF42:AF43"/>
    <mergeCell ref="R67:S67"/>
    <mergeCell ref="AF16:AF17"/>
    <mergeCell ref="AG16:AG17"/>
    <mergeCell ref="AH16:AH17"/>
    <mergeCell ref="AF55:AF56"/>
    <mergeCell ref="AG55:AG56"/>
    <mergeCell ref="AH55:AH56"/>
    <mergeCell ref="X55:X56"/>
    <mergeCell ref="Y55:Y56"/>
    <mergeCell ref="Z55:Z56"/>
    <mergeCell ref="AA55:AA56"/>
    <mergeCell ref="AC55:AC56"/>
    <mergeCell ref="AE55:AE56"/>
    <mergeCell ref="AE42:AE43"/>
    <mergeCell ref="X16:X17"/>
    <mergeCell ref="R16:R17"/>
    <mergeCell ref="S16:S17"/>
    <mergeCell ref="AC16:AC17"/>
    <mergeCell ref="F3:F4"/>
    <mergeCell ref="G3:G4"/>
    <mergeCell ref="H3:H4"/>
    <mergeCell ref="AK3:AK4"/>
    <mergeCell ref="M3:M4"/>
    <mergeCell ref="I3:I4"/>
    <mergeCell ref="K3:K4"/>
    <mergeCell ref="L3:L4"/>
    <mergeCell ref="N3:N4"/>
    <mergeCell ref="Z3:Z4"/>
    <mergeCell ref="AA3:AA4"/>
    <mergeCell ref="AC3:AC4"/>
    <mergeCell ref="AE3:AE4"/>
    <mergeCell ref="AI3:AI4"/>
    <mergeCell ref="S3:S4"/>
    <mergeCell ref="U3:U4"/>
    <mergeCell ref="W3:W4"/>
    <mergeCell ref="V3:V4"/>
    <mergeCell ref="O3:O4"/>
    <mergeCell ref="AF3:AF4"/>
    <mergeCell ref="AG3:AG4"/>
    <mergeCell ref="AH3:AH4"/>
    <mergeCell ref="J3:J4"/>
    <mergeCell ref="AH42:AH43"/>
    <mergeCell ref="W42:W43"/>
    <mergeCell ref="X42:X43"/>
    <mergeCell ref="Y42:Y43"/>
    <mergeCell ref="A3:A4"/>
    <mergeCell ref="B3:B4"/>
    <mergeCell ref="C3:C4"/>
    <mergeCell ref="D3:D4"/>
    <mergeCell ref="E3:E4"/>
    <mergeCell ref="AF29:AF30"/>
    <mergeCell ref="AG29:AG30"/>
    <mergeCell ref="AH29:AH30"/>
    <mergeCell ref="V29:V30"/>
    <mergeCell ref="W29:W30"/>
    <mergeCell ref="X29:X30"/>
    <mergeCell ref="Y29:Y30"/>
    <mergeCell ref="Z29:Z30"/>
    <mergeCell ref="AA29:AA30"/>
    <mergeCell ref="AC29:AC30"/>
    <mergeCell ref="X3:X4"/>
    <mergeCell ref="Y3:Y4"/>
    <mergeCell ref="R3:R4"/>
    <mergeCell ref="Z16:Z17"/>
    <mergeCell ref="AA16:AA17"/>
    <mergeCell ref="AB42:AB43"/>
    <mergeCell ref="AD42:AD43"/>
    <mergeCell ref="AB55:AB56"/>
    <mergeCell ref="AD55:AD56"/>
    <mergeCell ref="AJ55:AJ56"/>
    <mergeCell ref="A1:P2"/>
    <mergeCell ref="P3:P4"/>
    <mergeCell ref="U15:AJ15"/>
    <mergeCell ref="U2:AJ2"/>
    <mergeCell ref="U28:AJ28"/>
    <mergeCell ref="U41:AJ41"/>
    <mergeCell ref="U54:AJ54"/>
    <mergeCell ref="AJ3:AJ4"/>
    <mergeCell ref="AJ16:AJ17"/>
    <mergeCell ref="AJ29:AJ30"/>
    <mergeCell ref="AJ42:AJ43"/>
    <mergeCell ref="R55:R56"/>
    <mergeCell ref="S55:S56"/>
    <mergeCell ref="U55:U56"/>
    <mergeCell ref="V55:V56"/>
    <mergeCell ref="W55:W56"/>
    <mergeCell ref="R54:S54"/>
    <mergeCell ref="R41:S41"/>
    <mergeCell ref="AG42:AG43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5" r:id="rId4" name="CommandButton5">
          <controlPr defaultSize="0" autoLine="0" autoPict="0" r:id="rId5">
            <anchor moveWithCells="1">
              <from>
                <xdr:col>20</xdr:col>
                <xdr:colOff>581025</xdr:colOff>
                <xdr:row>73</xdr:row>
                <xdr:rowOff>114300</xdr:rowOff>
              </from>
              <to>
                <xdr:col>22</xdr:col>
                <xdr:colOff>590550</xdr:colOff>
                <xdr:row>76</xdr:row>
                <xdr:rowOff>180975</xdr:rowOff>
              </to>
            </anchor>
          </controlPr>
        </control>
      </mc:Choice>
      <mc:Fallback>
        <control shapeId="5125" r:id="rId4" name="CommandButton5"/>
      </mc:Fallback>
    </mc:AlternateContent>
    <mc:AlternateContent xmlns:mc="http://schemas.openxmlformats.org/markup-compatibility/2006">
      <mc:Choice Requires="x14">
        <control shapeId="5124" r:id="rId6" name="CommandButton4">
          <controlPr defaultSize="0" autoLine="0" r:id="rId7">
            <anchor moveWithCells="1">
              <from>
                <xdr:col>20</xdr:col>
                <xdr:colOff>600075</xdr:colOff>
                <xdr:row>69</xdr:row>
                <xdr:rowOff>66675</xdr:rowOff>
              </from>
              <to>
                <xdr:col>22</xdr:col>
                <xdr:colOff>609600</xdr:colOff>
                <xdr:row>72</xdr:row>
                <xdr:rowOff>95250</xdr:rowOff>
              </to>
            </anchor>
          </controlPr>
        </control>
      </mc:Choice>
      <mc:Fallback>
        <control shapeId="5124" r:id="rId6" name="CommandButton4"/>
      </mc:Fallback>
    </mc:AlternateContent>
    <mc:AlternateContent xmlns:mc="http://schemas.openxmlformats.org/markup-compatibility/2006">
      <mc:Choice Requires="x14">
        <control shapeId="5123" r:id="rId8" name="CommandButton3">
          <controlPr defaultSize="0" autoLine="0" r:id="rId9">
            <anchor moveWithCells="1">
              <from>
                <xdr:col>25</xdr:col>
                <xdr:colOff>323850</xdr:colOff>
                <xdr:row>65</xdr:row>
                <xdr:rowOff>161925</xdr:rowOff>
              </from>
              <to>
                <xdr:col>26</xdr:col>
                <xdr:colOff>819150</xdr:colOff>
                <xdr:row>69</xdr:row>
                <xdr:rowOff>9525</xdr:rowOff>
              </to>
            </anchor>
          </controlPr>
        </control>
      </mc:Choice>
      <mc:Fallback>
        <control shapeId="5123" r:id="rId8" name="CommandButton3"/>
      </mc:Fallback>
    </mc:AlternateContent>
    <mc:AlternateContent xmlns:mc="http://schemas.openxmlformats.org/markup-compatibility/2006">
      <mc:Choice Requires="x14">
        <control shapeId="5122" r:id="rId10" name="CommandButton2">
          <controlPr defaultSize="0" autoLine="0" r:id="rId11">
            <anchor moveWithCells="1">
              <from>
                <xdr:col>22</xdr:col>
                <xdr:colOff>666750</xdr:colOff>
                <xdr:row>65</xdr:row>
                <xdr:rowOff>152400</xdr:rowOff>
              </from>
              <to>
                <xdr:col>25</xdr:col>
                <xdr:colOff>38100</xdr:colOff>
                <xdr:row>69</xdr:row>
                <xdr:rowOff>9525</xdr:rowOff>
              </to>
            </anchor>
          </controlPr>
        </control>
      </mc:Choice>
      <mc:Fallback>
        <control shapeId="5122" r:id="rId10" name="CommandButton2"/>
      </mc:Fallback>
    </mc:AlternateContent>
    <mc:AlternateContent xmlns:mc="http://schemas.openxmlformats.org/markup-compatibility/2006">
      <mc:Choice Requires="x14">
        <control shapeId="5121" r:id="rId12" name="CommandButton1">
          <controlPr defaultSize="0" autoLine="0" autoPict="0" r:id="rId13">
            <anchor moveWithCells="1">
              <from>
                <xdr:col>20</xdr:col>
                <xdr:colOff>600075</xdr:colOff>
                <xdr:row>65</xdr:row>
                <xdr:rowOff>152400</xdr:rowOff>
              </from>
              <to>
                <xdr:col>22</xdr:col>
                <xdr:colOff>609600</xdr:colOff>
                <xdr:row>69</xdr:row>
                <xdr:rowOff>19050</xdr:rowOff>
              </to>
            </anchor>
          </controlPr>
        </control>
      </mc:Choice>
      <mc:Fallback>
        <control shapeId="5121" r:id="rId12" name="CommandButton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1BD5A-93A1-44A9-A055-9C894575C9C3}">
  <sheetPr codeName="Sheet6"/>
  <dimension ref="B2:AB244"/>
  <sheetViews>
    <sheetView zoomScale="80" zoomScaleNormal="80" workbookViewId="0">
      <selection activeCell="AD2" sqref="AD2"/>
    </sheetView>
  </sheetViews>
  <sheetFormatPr defaultRowHeight="15.75" x14ac:dyDescent="0.25"/>
  <cols>
    <col min="1" max="1" width="9.140625" style="6"/>
    <col min="2" max="2" width="9.7109375" style="6" bestFit="1" customWidth="1"/>
    <col min="3" max="3" width="13.42578125" style="6" bestFit="1" customWidth="1"/>
    <col min="4" max="4" width="15.28515625" style="6" customWidth="1"/>
    <col min="5" max="5" width="11.28515625" style="6" customWidth="1"/>
    <col min="6" max="6" width="13.7109375" style="6" customWidth="1"/>
    <col min="7" max="7" width="11.5703125" style="6" bestFit="1" customWidth="1"/>
    <col min="8" max="8" width="13.7109375" style="6" bestFit="1" customWidth="1"/>
    <col min="9" max="9" width="9.7109375" style="6" bestFit="1" customWidth="1"/>
    <col min="10" max="10" width="10" style="6" bestFit="1" customWidth="1"/>
    <col min="11" max="11" width="10.42578125" style="6" customWidth="1"/>
    <col min="12" max="12" width="9.85546875" style="6" customWidth="1"/>
    <col min="13" max="13" width="10" style="6" bestFit="1" customWidth="1"/>
    <col min="14" max="14" width="9.42578125" style="6" bestFit="1" customWidth="1"/>
    <col min="15" max="15" width="9.5703125" style="6" bestFit="1" customWidth="1"/>
    <col min="16" max="16" width="11.140625" style="6" bestFit="1" customWidth="1"/>
    <col min="17" max="17" width="9.5703125" style="6" bestFit="1" customWidth="1"/>
    <col min="18" max="18" width="12.42578125" style="6" customWidth="1"/>
    <col min="19" max="19" width="11.42578125" style="6" customWidth="1"/>
    <col min="20" max="20" width="10" style="6" bestFit="1" customWidth="1"/>
    <col min="21" max="21" width="10" style="6" customWidth="1"/>
    <col min="22" max="22" width="9.42578125" style="6" customWidth="1"/>
    <col min="23" max="23" width="11.140625" style="6" customWidth="1"/>
    <col min="24" max="24" width="9.28515625" style="6" customWidth="1"/>
    <col min="25" max="25" width="11.42578125" style="6" customWidth="1"/>
    <col min="26" max="26" width="12.5703125" style="6" customWidth="1"/>
    <col min="27" max="27" width="13.28515625" style="6" customWidth="1"/>
    <col min="28" max="28" width="13" style="6" bestFit="1" customWidth="1"/>
    <col min="29" max="29" width="9.140625" style="6"/>
    <col min="30" max="30" width="10.7109375" style="6" customWidth="1"/>
    <col min="31" max="31" width="10.28515625" style="6" customWidth="1"/>
    <col min="32" max="16384" width="9.140625" style="6"/>
  </cols>
  <sheetData>
    <row r="2" spans="2:28" x14ac:dyDescent="0.25">
      <c r="B2" s="959" t="s">
        <v>112</v>
      </c>
      <c r="C2" s="959"/>
      <c r="D2" s="959"/>
      <c r="E2" s="959"/>
      <c r="F2" s="959"/>
      <c r="G2" s="959"/>
      <c r="H2" s="959"/>
      <c r="J2" s="944" t="s">
        <v>121</v>
      </c>
      <c r="K2" s="945"/>
      <c r="L2" s="945"/>
      <c r="M2" s="945"/>
      <c r="N2" s="945"/>
      <c r="O2" s="945"/>
      <c r="P2" s="945"/>
      <c r="Q2" s="945"/>
      <c r="R2" s="945"/>
      <c r="S2" s="945"/>
      <c r="T2" s="945"/>
      <c r="U2" s="945"/>
      <c r="V2" s="946"/>
      <c r="W2" s="1"/>
      <c r="X2" s="929" t="s">
        <v>124</v>
      </c>
      <c r="Y2" s="929"/>
      <c r="Z2" s="929"/>
      <c r="AA2" s="929"/>
      <c r="AB2" s="929"/>
    </row>
    <row r="3" spans="2:28" ht="15" customHeight="1" x14ac:dyDescent="0.25">
      <c r="B3" s="590" t="s">
        <v>74</v>
      </c>
      <c r="C3" s="590" t="s">
        <v>104</v>
      </c>
      <c r="D3" s="590"/>
      <c r="E3" s="588" t="s">
        <v>111</v>
      </c>
      <c r="F3" s="588" t="s">
        <v>103</v>
      </c>
      <c r="G3" s="590" t="s">
        <v>108</v>
      </c>
      <c r="H3" s="590"/>
      <c r="J3" s="590" t="s">
        <v>9</v>
      </c>
      <c r="K3" s="588" t="s">
        <v>3</v>
      </c>
      <c r="L3" s="588" t="s">
        <v>89</v>
      </c>
      <c r="M3" s="590" t="s">
        <v>91</v>
      </c>
      <c r="N3" s="590" t="s">
        <v>98</v>
      </c>
      <c r="O3" s="588" t="s">
        <v>119</v>
      </c>
      <c r="P3" s="588" t="s">
        <v>286</v>
      </c>
      <c r="Q3" s="588" t="s">
        <v>287</v>
      </c>
      <c r="R3" s="590" t="s">
        <v>457</v>
      </c>
      <c r="S3" s="590" t="s">
        <v>458</v>
      </c>
      <c r="T3" s="590" t="s">
        <v>92</v>
      </c>
      <c r="U3" s="588" t="s">
        <v>120</v>
      </c>
      <c r="V3" s="590" t="s">
        <v>96</v>
      </c>
      <c r="X3" s="590" t="s">
        <v>9</v>
      </c>
      <c r="Y3" s="924" t="s">
        <v>93</v>
      </c>
      <c r="Z3" s="924" t="s">
        <v>94</v>
      </c>
      <c r="AA3" s="924" t="s">
        <v>122</v>
      </c>
      <c r="AB3" s="588" t="s">
        <v>123</v>
      </c>
    </row>
    <row r="4" spans="2:28" x14ac:dyDescent="0.25">
      <c r="B4" s="590"/>
      <c r="C4" s="68" t="s">
        <v>105</v>
      </c>
      <c r="D4" s="68" t="s">
        <v>106</v>
      </c>
      <c r="E4" s="588"/>
      <c r="F4" s="588"/>
      <c r="G4" s="590"/>
      <c r="H4" s="590"/>
      <c r="J4" s="590"/>
      <c r="K4" s="588"/>
      <c r="L4" s="588"/>
      <c r="M4" s="590"/>
      <c r="N4" s="590"/>
      <c r="O4" s="588"/>
      <c r="P4" s="588"/>
      <c r="Q4" s="588"/>
      <c r="R4" s="590"/>
      <c r="S4" s="590"/>
      <c r="T4" s="590"/>
      <c r="U4" s="588"/>
      <c r="V4" s="590"/>
      <c r="X4" s="590"/>
      <c r="Y4" s="924"/>
      <c r="Z4" s="924"/>
      <c r="AA4" s="924"/>
      <c r="AB4" s="588"/>
    </row>
    <row r="5" spans="2:28" x14ac:dyDescent="0.25">
      <c r="B5" s="68">
        <v>6</v>
      </c>
      <c r="C5" s="70">
        <f>'Frame Capacities'!E10+'Frame Capacities'!F10+'Frame Capacities'!E16+'Frame Capacities'!F16+'Frame Capacities'!E22+'Frame Capacities'!F22</f>
        <v>544.79999999999995</v>
      </c>
      <c r="D5" s="70">
        <f>'Frame Capacities'!E54+'Frame Capacities'!E60+'Frame Capacities'!E66+'Frame Capacities'!E72</f>
        <v>133.6</v>
      </c>
      <c r="E5" s="70">
        <f t="shared" ref="E5:E10" si="0">C5/D5</f>
        <v>4.0778443113772456</v>
      </c>
      <c r="F5" s="69" t="s">
        <v>42</v>
      </c>
      <c r="G5" s="488" t="s">
        <v>110</v>
      </c>
      <c r="H5" s="488" t="s">
        <v>107</v>
      </c>
      <c r="J5" s="489">
        <v>6</v>
      </c>
      <c r="K5" s="431">
        <f>'Structural Information'!$U$6</f>
        <v>3</v>
      </c>
      <c r="L5" s="431">
        <f>L6+K5</f>
        <v>17.75</v>
      </c>
      <c r="M5" s="490">
        <f>'Yield Mechanism'!$X$57</f>
        <v>8.8706729885236167E-3</v>
      </c>
      <c r="N5" s="71">
        <f>M5-M6</f>
        <v>6.7920838535619546E-4</v>
      </c>
      <c r="O5" s="491">
        <f t="shared" ref="O5:O10" si="1">N5/K5</f>
        <v>2.2640279511873182E-4</v>
      </c>
      <c r="P5" s="490">
        <f>$C$26</f>
        <v>8.3119145368492249E-3</v>
      </c>
      <c r="Q5" s="490">
        <f>$D$26</f>
        <v>2.2387978504494433E-3</v>
      </c>
      <c r="R5" s="70">
        <f>O5/P5</f>
        <v>2.7238344922222182E-2</v>
      </c>
      <c r="S5" s="70">
        <f>O5/Q5</f>
        <v>0.10112694858684136</v>
      </c>
      <c r="T5" s="431">
        <f>_xlfn.IFS((O5&lt;='Infill Capacities'!$CW$14),(O5*'Infill Capacities'!$CR$14*'Infill Capacities'!$CQ$4),(AND((O5&gt;'Infill Capacities'!$CW$14),(O5&lt;='Infill Capacities'!$CX$14))),((O5-'Infill Capacities'!$CW$14)*'Infill Capacities'!$CQ$4*('Infill Capacities'!$CS$14)+'Infill Capacities'!$CM$14),(AND((O5&gt;'Infill Capacities'!$CX$14),(O5&lt;='Infill Capacities'!$CY$14))),((O5-'Infill Capacities'!$CX$14)*'Infill Capacities'!$CQ$4*('Infill Capacities'!$CT$14)+'Infill Capacities'!$CN$14),(AND((O5&gt;'Infill Capacities'!$CY$14),(O5&lt;='Infill Capacities'!$CZ$14))),((O5-'Infill Capacities'!$CY$14)*'Infill Capacities'!$CQ$4*('Infill Capacities'!$CU$14)+'Infill Capacities'!$CP$14))+_xlfn.IFS((O5&lt;='Frame Capacities'!$BO$14),(O5*'Frame Capacities'!$BH$4*'Frame Capacities'!$BI$14),(AND((O5&gt;'Frame Capacities'!$BO$14),(O5&lt;='Frame Capacities'!$BP$14))),((O5-'Frame Capacities'!$BO$14)*'Frame Capacities'!$BH$4*('Frame Capacities'!$BJ$14)+'Frame Capacities'!$BC$14),(AND((O5&gt;'Frame Capacities'!$BP$14),(O5&lt;='Frame Capacities'!$BQ$14))),((O5-'Frame Capacities'!$BP$14)*'Frame Capacities'!$BH$4*('Frame Capacities'!$BK$14)+'Frame Capacities'!$BD$14),(AND((O5&gt;'Frame Capacities'!$BQ$14),(O5&lt;='Frame Capacities'!$BR$14))),((O5-'Frame Capacities'!$BQ$14)*'Frame Capacities'!$BH$4*('Frame Capacities'!$BL$14)+'Frame Capacities'!$BE$14))</f>
        <v>24.314358638495708</v>
      </c>
      <c r="U5" s="431">
        <f>K5*T5</f>
        <v>72.943075915487128</v>
      </c>
      <c r="V5" s="70">
        <f>U10/AB5</f>
        <v>99.999998772354672</v>
      </c>
      <c r="W5" s="47"/>
      <c r="X5" s="69">
        <v>6</v>
      </c>
      <c r="Y5" s="70">
        <f>'Structural Information'!$Z$6</f>
        <v>37.8446</v>
      </c>
      <c r="Z5" s="70">
        <f>Y5*M5</f>
        <v>0.33570707098148084</v>
      </c>
      <c r="AA5" s="70">
        <f t="shared" ref="AA5:AA10" si="2">Z5*L5</f>
        <v>5.9588005099212848</v>
      </c>
      <c r="AB5" s="70">
        <f>AA11/Z11</f>
        <v>12.384252098910217</v>
      </c>
    </row>
    <row r="6" spans="2:28" x14ac:dyDescent="0.25">
      <c r="B6" s="68">
        <v>5</v>
      </c>
      <c r="C6" s="70">
        <f>'Frame Capacities'!E9+'Frame Capacities'!F9+'Frame Capacities'!E15+'Frame Capacities'!F15+'Frame Capacities'!E21+'Frame Capacities'!F21</f>
        <v>544.79999999999995</v>
      </c>
      <c r="D6" s="70">
        <f>'Frame Capacities'!E53+'Frame Capacities'!E59+'Frame Capacities'!E65+'Frame Capacities'!E71+'Frame Capacities'!E54+'Frame Capacities'!E60+'Frame Capacities'!E66+'Frame Capacities'!E72</f>
        <v>295.8</v>
      </c>
      <c r="E6" s="70">
        <f t="shared" si="0"/>
        <v>1.8417849898580119</v>
      </c>
      <c r="F6" s="69" t="s">
        <v>42</v>
      </c>
      <c r="G6" s="488" t="s">
        <v>110</v>
      </c>
      <c r="H6" s="488" t="s">
        <v>107</v>
      </c>
      <c r="J6" s="489">
        <v>5</v>
      </c>
      <c r="K6" s="431">
        <f>'Structural Information'!$U$7</f>
        <v>3</v>
      </c>
      <c r="L6" s="431">
        <f>L7+K6</f>
        <v>14.75</v>
      </c>
      <c r="M6" s="490">
        <f>'Yield Mechanism'!$X$58</f>
        <v>8.1914646031674213E-3</v>
      </c>
      <c r="N6" s="71">
        <f>M6-M7</f>
        <v>1.1731887339810039E-3</v>
      </c>
      <c r="O6" s="491">
        <f t="shared" si="1"/>
        <v>3.9106291132700129E-4</v>
      </c>
      <c r="P6" s="490">
        <f>$C$27</f>
        <v>9.597600000000003E-3</v>
      </c>
      <c r="Q6" s="490">
        <f>$D$27</f>
        <v>1.92360761471166E-3</v>
      </c>
      <c r="R6" s="70">
        <f t="shared" ref="R6:R8" si="3">O6/P6</f>
        <v>4.0745906406497577E-2</v>
      </c>
      <c r="S6" s="70">
        <f t="shared" ref="S6:S7" si="4">O6/Q6</f>
        <v>0.20329661222807119</v>
      </c>
      <c r="T6" s="431">
        <f>_xlfn.IFS((O6&lt;='Infill Capacities'!$CW$15),(O6*'Infill Capacities'!$CR$15*'Infill Capacities'!$CQ$5),(AND((O6&gt;'Infill Capacities'!$CW$15),(O6&lt;='Infill Capacities'!$CX$15))),((O6-'Infill Capacities'!$CW$15)*'Infill Capacities'!$CQ$5*('Infill Capacities'!$CS$15)+'Infill Capacities'!$CM$15),(AND((O6&gt;'Infill Capacities'!$CX$15),(O6&lt;='Infill Capacities'!$CY$15))),((O6-'Infill Capacities'!$CX$15)*'Infill Capacities'!$CQ$5*('Infill Capacities'!$CT$15)+'Infill Capacities'!$CN$15),(AND((O6&gt;'Infill Capacities'!$CY$15),(O6&lt;='Infill Capacities'!$CZ$15))),((O6-'Infill Capacities'!$CY$15)*'Infill Capacities'!$CQ$5*('Infill Capacities'!$CU$15)+'Infill Capacities'!$CP$15))+_xlfn.IFS((O6&lt;='Frame Capacities'!$BO$15),(O6*'Frame Capacities'!$BH$5*'Frame Capacities'!$BI$15),(AND((O6&gt;'Frame Capacities'!$BO$15),(O6&lt;='Frame Capacities'!$BP$15))),((O6-'Frame Capacities'!$BO$15)*'Frame Capacities'!$BH$5*('Frame Capacities'!$BJ$15)+'Frame Capacities'!$BC$15),(AND((O6&gt;'Frame Capacities'!$BP$15),(O6&lt;='Frame Capacities'!$BQ$15))),((O6-'Frame Capacities'!$BP$15)*'Frame Capacities'!$BH$5*('Frame Capacities'!$BK$15)+'Frame Capacities'!$BD$15),(AND((O6&gt;'Frame Capacities'!$BQ$15),(O6&lt;='Frame Capacities'!$BR$15))),((O6-'Frame Capacities'!$BQ$15)*'Frame Capacities'!$BH$5*('Frame Capacities'!$BL$15)+'Frame Capacities'!$BE$15))</f>
        <v>48.263523243971207</v>
      </c>
      <c r="U6" s="431">
        <f>U5+T6*K6</f>
        <v>217.73364564740075</v>
      </c>
      <c r="V6" s="492"/>
      <c r="W6" s="47"/>
      <c r="X6" s="69">
        <v>5</v>
      </c>
      <c r="Y6" s="70">
        <f>'Structural Information'!$Z$7</f>
        <v>40.367000000000004</v>
      </c>
      <c r="Z6" s="70">
        <f t="shared" ref="Z6:Z10" si="5">Y6*M6</f>
        <v>0.33066485163605935</v>
      </c>
      <c r="AA6" s="70">
        <f t="shared" si="2"/>
        <v>4.8773065616318751</v>
      </c>
      <c r="AB6" s="68" t="s">
        <v>381</v>
      </c>
    </row>
    <row r="7" spans="2:28" x14ac:dyDescent="0.25">
      <c r="B7" s="68">
        <v>4</v>
      </c>
      <c r="C7" s="70">
        <f>'Frame Capacities'!E8+'Frame Capacities'!F8+'Frame Capacities'!E14+'Frame Capacities'!F14+'Frame Capacities'!E20+'Frame Capacities'!F20</f>
        <v>544.79999999999995</v>
      </c>
      <c r="D7" s="70">
        <f>'Frame Capacities'!E52+'Frame Capacities'!E58+'Frame Capacities'!E64+'Frame Capacities'!E70+'Frame Capacities'!E53+'Frame Capacities'!E59+'Frame Capacities'!E65+'Frame Capacities'!E71</f>
        <v>344.4</v>
      </c>
      <c r="E7" s="70">
        <f t="shared" si="0"/>
        <v>1.5818815331010452</v>
      </c>
      <c r="F7" s="69" t="s">
        <v>42</v>
      </c>
      <c r="G7" s="488" t="s">
        <v>110</v>
      </c>
      <c r="H7" s="488" t="s">
        <v>107</v>
      </c>
      <c r="J7" s="489">
        <v>4</v>
      </c>
      <c r="K7" s="431">
        <f>'Structural Information'!$U$8</f>
        <v>3</v>
      </c>
      <c r="L7" s="431">
        <f>L8+K7</f>
        <v>11.75</v>
      </c>
      <c r="M7" s="490">
        <f>'Yield Mechanism'!$X$59</f>
        <v>7.0182758691864173E-3</v>
      </c>
      <c r="N7" s="491">
        <f>M7-M8</f>
        <v>1.5927336164272138E-3</v>
      </c>
      <c r="O7" s="491">
        <f t="shared" si="1"/>
        <v>5.3091120547573789E-4</v>
      </c>
      <c r="P7" s="490">
        <f>$C$28</f>
        <v>9.015519176800749E-3</v>
      </c>
      <c r="Q7" s="490">
        <f>$D$28</f>
        <v>1.852250472241956E-3</v>
      </c>
      <c r="R7" s="70">
        <f t="shared" si="3"/>
        <v>5.8888589227552093E-2</v>
      </c>
      <c r="S7" s="70">
        <f t="shared" si="4"/>
        <v>0.28663035233735168</v>
      </c>
      <c r="T7" s="431">
        <f>_xlfn.IFS((O7&lt;='Infill Capacities'!$CW$16),(O7*'Infill Capacities'!$CR$16*'Infill Capacities'!$CQ$6),(AND((O7&gt;'Infill Capacities'!$CW$16),(O7&lt;='Infill Capacities'!$CX$16))),((O7-'Infill Capacities'!$CW$16)*'Infill Capacities'!$CQ$6*('Infill Capacities'!$CS$16)+'Infill Capacities'!$CM$16),(AND((O7&gt;'Infill Capacities'!$CX$16),(O7&lt;='Infill Capacities'!$CY$16))),((O7-'Infill Capacities'!$CX$16)*'Infill Capacities'!$CQ$6*('Infill Capacities'!$CT$16)+'Infill Capacities'!$CN$16),(AND((O7&gt;'Infill Capacities'!$CY$16),(O7&lt;='Infill Capacities'!$CZ$16))),((O7-'Infill Capacities'!$CY$16)*'Infill Capacities'!$CQ$6*('Infill Capacities'!$CU$16)+'Infill Capacities'!$CP$16))+_xlfn.IFS((O7&lt;='Frame Capacities'!$BO$16),(O7*'Frame Capacities'!$BH$6*'Frame Capacities'!$BI$16),(AND((O7&gt;'Frame Capacities'!$BO$16),(O7&lt;='Frame Capacities'!$BP$16))),((O7-'Frame Capacities'!$BO$16)*'Frame Capacities'!$BH$6*('Frame Capacities'!$BJ$16)+'Frame Capacities'!$BC$16),(AND((O7&gt;'Frame Capacities'!$BP$16),(O7&lt;='Frame Capacities'!$BQ$16))),((O7-'Frame Capacities'!$BP$16)*'Frame Capacities'!$BH$6*('Frame Capacities'!$BK$16)+'Frame Capacities'!$BD$16),(AND((O7&gt;'Frame Capacities'!$BQ$16),(O7&lt;='Frame Capacities'!$BR$16))),((O7-'Frame Capacities'!$BQ$16)*'Frame Capacities'!$BH$6*('Frame Capacities'!$BL$16)+'Frame Capacities'!$BE$16))</f>
        <v>68.782667375673356</v>
      </c>
      <c r="U7" s="431">
        <f>U6+T7*K7</f>
        <v>424.08164777442084</v>
      </c>
      <c r="V7" s="493" t="s">
        <v>130</v>
      </c>
      <c r="W7" s="47"/>
      <c r="X7" s="69">
        <v>4</v>
      </c>
      <c r="Y7" s="70">
        <f>'Structural Information'!$Z$8</f>
        <v>40.367000000000004</v>
      </c>
      <c r="Z7" s="70">
        <f t="shared" si="5"/>
        <v>0.28330674201144812</v>
      </c>
      <c r="AA7" s="70">
        <f t="shared" si="2"/>
        <v>3.3288542186345156</v>
      </c>
      <c r="AB7" s="430">
        <f>T10/M5</f>
        <v>11273.100970936261</v>
      </c>
    </row>
    <row r="8" spans="2:28" x14ac:dyDescent="0.25">
      <c r="B8" s="68">
        <v>3</v>
      </c>
      <c r="C8" s="70">
        <f>'Frame Capacities'!E7+'Frame Capacities'!F7+'Frame Capacities'!E13+'Frame Capacities'!F13+'Frame Capacities'!E19+'Frame Capacities'!F19</f>
        <v>544.79999999999995</v>
      </c>
      <c r="D8" s="70">
        <f>'Frame Capacities'!E51+'Frame Capacities'!E57+'Frame Capacities'!E63+'Frame Capacities'!E69+'Frame Capacities'!E52+'Frame Capacities'!E58+'Frame Capacities'!E64+'Frame Capacities'!E70</f>
        <v>427.6</v>
      </c>
      <c r="E8" s="70">
        <f t="shared" si="0"/>
        <v>1.2740879326473338</v>
      </c>
      <c r="F8" s="69" t="s">
        <v>42</v>
      </c>
      <c r="G8" s="488" t="s">
        <v>110</v>
      </c>
      <c r="H8" s="488" t="s">
        <v>107</v>
      </c>
      <c r="J8" s="489">
        <v>3</v>
      </c>
      <c r="K8" s="431">
        <f>'Structural Information'!$U$9</f>
        <v>3</v>
      </c>
      <c r="L8" s="431">
        <f>L9+K8</f>
        <v>8.75</v>
      </c>
      <c r="M8" s="490">
        <f>'Yield Mechanism'!$X$60</f>
        <v>5.4255422527592035E-3</v>
      </c>
      <c r="N8" s="71">
        <f>M8-M9</f>
        <v>1.83730679743837E-3</v>
      </c>
      <c r="O8" s="491">
        <f t="shared" si="1"/>
        <v>6.1243559914612338E-4</v>
      </c>
      <c r="P8" s="490">
        <f>$C$29</f>
        <v>8.5822017391304368E-3</v>
      </c>
      <c r="Q8" s="490">
        <f>$D$29</f>
        <v>1.7915672005543457E-3</v>
      </c>
      <c r="R8" s="431">
        <f t="shared" si="3"/>
        <v>7.1361128270118757E-2</v>
      </c>
      <c r="S8" s="70">
        <f>O8/Q8</f>
        <v>0.34184349822692889</v>
      </c>
      <c r="T8" s="431">
        <f>_xlfn.IFS((O8&lt;='Infill Capacities'!$CW$17),(O8*'Infill Capacities'!$CR$17*'Infill Capacities'!$CQ$7),(AND((O8&gt;'Infill Capacities'!$CW$17),(O8&lt;='Infill Capacities'!$CX$17))),((O8-'Infill Capacities'!$CW$17)*'Infill Capacities'!$CQ$7*('Infill Capacities'!$CS$17)+'Infill Capacities'!$CM$17),(AND((O8&gt;'Infill Capacities'!$CX$17),(O8&lt;='Infill Capacities'!$CY$17))),((O8-'Infill Capacities'!$CX$17)*'Infill Capacities'!$CQ$7*('Infill Capacities'!$CT$17)+'Infill Capacities'!$CN$17),(AND((O8&gt;'Infill Capacities'!$CY$17),(O8&lt;='Infill Capacities'!$CZ$17))),((O8-'Infill Capacities'!$CY$17)*'Infill Capacities'!$CQ$7*('Infill Capacities'!$CU$17)+'Infill Capacities'!$CP$17))+_xlfn.IFS((O8&lt;='Frame Capacities'!$BO$17),(O8*'Frame Capacities'!$BH$7*'Frame Capacities'!$BI$17),(AND((O8&gt;'Frame Capacities'!$BO$17),(O8&lt;='Frame Capacities'!$BP$17))),((O8-'Frame Capacities'!$BO$17)*'Frame Capacities'!$BH$7*('Frame Capacities'!$BJ$17)+'Frame Capacities'!$BC$17),(AND((O8&gt;'Frame Capacities'!$BP$17),(O8&lt;='Frame Capacities'!$BQ$17))),((O8-'Frame Capacities'!$BP$17)*'Frame Capacities'!$BH$7*('Frame Capacities'!$BK$17)+'Frame Capacities'!$BD$17),(AND((O8&gt;'Frame Capacities'!$BQ$17),(O8&lt;='Frame Capacities'!$BR$17))),((O8-'Frame Capacities'!$BQ$17)*'Frame Capacities'!$BH$7*('Frame Capacities'!$BL$17)+'Frame Capacities'!$BE$17))</f>
        <v>84.645179741290264</v>
      </c>
      <c r="U8" s="431">
        <f>U7+T8*K8</f>
        <v>678.01718699829166</v>
      </c>
      <c r="V8" s="494">
        <v>0</v>
      </c>
      <c r="W8" s="47"/>
      <c r="X8" s="69">
        <v>3</v>
      </c>
      <c r="Y8" s="70">
        <f>'Structural Information'!$Z$9</f>
        <v>40.367000000000004</v>
      </c>
      <c r="Z8" s="70">
        <f t="shared" si="5"/>
        <v>0.21901286411713081</v>
      </c>
      <c r="AA8" s="70">
        <f t="shared" si="2"/>
        <v>1.9163625610248947</v>
      </c>
      <c r="AB8" s="351" t="s">
        <v>383</v>
      </c>
    </row>
    <row r="9" spans="2:28" x14ac:dyDescent="0.25">
      <c r="B9" s="68">
        <v>2</v>
      </c>
      <c r="C9" s="70">
        <f>'Frame Capacities'!E6+'Frame Capacities'!F6+'Frame Capacities'!E12+'Frame Capacities'!F12+'Frame Capacities'!E18+'Frame Capacities'!F18</f>
        <v>544.79999999999995</v>
      </c>
      <c r="D9" s="70">
        <f>'Frame Capacities'!E50+'Frame Capacities'!E56+'Frame Capacities'!E62+'Frame Capacities'!E68+'Frame Capacities'!E51+'Frame Capacities'!E57+'Frame Capacities'!E63+'Frame Capacities'!E69</f>
        <v>506</v>
      </c>
      <c r="E9" s="70">
        <f t="shared" si="0"/>
        <v>1.0766798418972332</v>
      </c>
      <c r="F9" s="69" t="s">
        <v>42</v>
      </c>
      <c r="G9" s="488" t="s">
        <v>110</v>
      </c>
      <c r="H9" s="488" t="s">
        <v>107</v>
      </c>
      <c r="J9" s="489">
        <v>2</v>
      </c>
      <c r="K9" s="431">
        <f>'Structural Information'!$U$10</f>
        <v>3</v>
      </c>
      <c r="L9" s="431">
        <f>L10+K9</f>
        <v>5.75</v>
      </c>
      <c r="M9" s="490">
        <f>'Yield Mechanism'!$X$61</f>
        <v>3.5882354553208335E-3</v>
      </c>
      <c r="N9" s="71">
        <f>M9-M10</f>
        <v>1.9245771380911512E-3</v>
      </c>
      <c r="O9" s="491">
        <f t="shared" si="1"/>
        <v>6.4152571269705035E-4</v>
      </c>
      <c r="P9" s="490">
        <f>$C$30</f>
        <v>6.7523273096129852E-3</v>
      </c>
      <c r="Q9" s="490">
        <f>$D$30</f>
        <v>1.7342707198796904E-3</v>
      </c>
      <c r="R9" s="70">
        <f>O9/P9</f>
        <v>9.5008088808689564E-2</v>
      </c>
      <c r="S9" s="70">
        <f t="shared" ref="S9:S10" si="6">O9/Q9</f>
        <v>0.36991094028362204</v>
      </c>
      <c r="T9" s="431">
        <f>_xlfn.IFS((O9&lt;='Infill Capacities'!$CW$18),(O9*'Infill Capacities'!$CR$18*'Infill Capacities'!$CQ$8),(AND((O9&gt;'Infill Capacities'!$CW$18),(O9&lt;='Infill Capacities'!$CX$18))),((O9-'Infill Capacities'!$CW$18)*'Infill Capacities'!$CQ$8*('Infill Capacities'!$CS$18)+'Infill Capacities'!$CM$18),(AND((O9&gt;'Infill Capacities'!$CX$18),(O9&lt;='Infill Capacities'!$CY$18))),((O9-'Infill Capacities'!$CX$18)*'Infill Capacities'!$CQ$8*('Infill Capacities'!$CT$18)+'Infill Capacities'!$CN$18),(AND((O9&gt;'Infill Capacities'!$CY$18),(O9&lt;='Infill Capacities'!$CZ$18))),((O9-'Infill Capacities'!$CY$18)*'Infill Capacities'!$CQ$8*('Infill Capacities'!$CU$18)+'Infill Capacities'!$CP$18))+_xlfn.IFS((O9&lt;='Frame Capacities'!$BO$18),(O9*'Frame Capacities'!$BH$8*'Frame Capacities'!$BI$18),(AND((O9&gt;'Frame Capacities'!$BO$18),(O9&lt;='Frame Capacities'!$BP$18))),((O9-'Frame Capacities'!$BO$18)*'Frame Capacities'!$BH$8*('Frame Capacities'!$BJ$18)+'Frame Capacities'!$BC$18),(AND((O9&gt;'Frame Capacities'!$BP$18),(O9&lt;='Frame Capacities'!$BQ$18))),((O9-'Frame Capacities'!$BP$18)*'Frame Capacities'!$BH$8*('Frame Capacities'!$BK$18)+'Frame Capacities'!$BD$18),(AND((O9&gt;'Frame Capacities'!$BQ$18),(O9&lt;='Frame Capacities'!$BR$18))),((O9-'Frame Capacities'!$BQ$18)*'Frame Capacities'!$BH$8*('Frame Capacities'!$BL$18)+'Frame Capacities'!$BE$18))</f>
        <v>95.136009639951936</v>
      </c>
      <c r="U9" s="431">
        <f>U8+T9*K9</f>
        <v>963.4252159181475</v>
      </c>
      <c r="V9" s="492"/>
      <c r="W9" s="47"/>
      <c r="X9" s="69">
        <v>2</v>
      </c>
      <c r="Y9" s="70">
        <f>'Structural Information'!$Z$10</f>
        <v>40.367000000000004</v>
      </c>
      <c r="Z9" s="70">
        <f t="shared" si="5"/>
        <v>0.14484630062493611</v>
      </c>
      <c r="AA9" s="70">
        <f t="shared" si="2"/>
        <v>0.83286622859338266</v>
      </c>
      <c r="AB9" s="70">
        <f>(('Structural Information'!$Z$6*M5+'Structural Information'!$Z$7*M6+'Structural Information'!$Z$8*M7+'Structural Information'!$Z$9*M8+'Structural Information'!$Z$10*M9+'Structural Information'!$Z$11*M10)^2)/('Structural Information'!$Z$6*M5*M5+'Structural Information'!$Z$7*M6*M6+'Structural Information'!$Z$8*M7*M7+'Structural Information'!$Z$9*M8*M8+'Structural Information'!$Z$10*M9*M9+'Structural Information'!$Z$11*M10*M10)</f>
        <v>200.77844728267124</v>
      </c>
    </row>
    <row r="10" spans="2:28" x14ac:dyDescent="0.25">
      <c r="B10" s="68">
        <v>1</v>
      </c>
      <c r="C10" s="70">
        <f>'Frame Capacities'!E5+'Frame Capacities'!F5+'Frame Capacities'!E11+'Frame Capacities'!F11+'Frame Capacities'!E17+'Frame Capacities'!F17</f>
        <v>544.79999999999995</v>
      </c>
      <c r="D10" s="70">
        <f>'Frame Capacities'!E49+'Frame Capacities'!E55+'Frame Capacities'!E61+'Frame Capacities'!E67+'Frame Capacities'!E50+'Frame Capacities'!E56+'Frame Capacities'!E62+'Frame Capacities'!E68</f>
        <v>640.79999999999995</v>
      </c>
      <c r="E10" s="70">
        <f t="shared" si="0"/>
        <v>0.85018726591760296</v>
      </c>
      <c r="F10" s="69" t="s">
        <v>42</v>
      </c>
      <c r="G10" s="488" t="s">
        <v>109</v>
      </c>
      <c r="H10" s="488" t="s">
        <v>395</v>
      </c>
      <c r="J10" s="489">
        <v>1</v>
      </c>
      <c r="K10" s="431">
        <f>'Structural Information'!$U$11</f>
        <v>2.75</v>
      </c>
      <c r="L10" s="431">
        <f>K10</f>
        <v>2.75</v>
      </c>
      <c r="M10" s="490">
        <f>'Yield Mechanism'!$X$62</f>
        <v>1.6636583172296823E-3</v>
      </c>
      <c r="N10" s="71">
        <f>M10</f>
        <v>1.6636583172296823E-3</v>
      </c>
      <c r="O10" s="491">
        <f t="shared" si="1"/>
        <v>6.0496666081079353E-4</v>
      </c>
      <c r="P10" s="490">
        <f>$C$31</f>
        <v>5.3120868684138484E-3</v>
      </c>
      <c r="Q10" s="490">
        <f>$D$31</f>
        <v>1.7606502644787157E-3</v>
      </c>
      <c r="R10" s="70">
        <f t="shared" ref="R10" si="7">O10/P10</f>
        <v>0.11388493369865246</v>
      </c>
      <c r="S10" s="70">
        <f t="shared" si="6"/>
        <v>0.34360410640094324</v>
      </c>
      <c r="T10" s="431">
        <f>_xlfn.IFS((O10&lt;='Infill Capacities'!$CW$19),(O10*'Infill Capacities'!$CR$19*'Infill Capacities'!$CQ$9),(AND((O10&gt;'Infill Capacities'!$CW$19),(O10&lt;='Infill Capacities'!$CX$19))),((O10-'Infill Capacities'!$CW$19)*'Infill Capacities'!$CQ$9*('Infill Capacities'!$CS$19)+'Infill Capacities'!$CM$19),(AND((O10&gt;'Infill Capacities'!$CX$19),(O10&lt;='Infill Capacities'!$CY$19))),((O10-'Infill Capacities'!$CX$19)*'Infill Capacities'!$CQ$9*('Infill Capacities'!$CT$19)+'Infill Capacities'!$CN$19),(AND((O10&gt;'Infill Capacities'!$CY$19),(O10&lt;='Infill Capacities'!$CZ$19))),((O10-'Infill Capacities'!$CY$19)*'Infill Capacities'!$CQ$9*('Infill Capacities'!$CU$19)+'Infill Capacities'!$CP$19))+_xlfn.IFS((O10&lt;='Frame Capacities'!$BO$19),(O10*'Frame Capacities'!$BH$9*'Frame Capacities'!$BI$19),(AND((O10&gt;'Frame Capacities'!$BO$19),(O10&lt;='Frame Capacities'!$BP$19))),((O10-'Frame Capacities'!$BO$19)*'Frame Capacities'!$BH$9*('Frame Capacities'!$BJ$19)+'Frame Capacities'!$BC$19),(AND((O10&gt;'Frame Capacities'!$BP$19),(O10&lt;='Frame Capacities'!$BQ$19))),((O10-'Frame Capacities'!$BP$19)*'Frame Capacities'!$BH$9*('Frame Capacities'!$BK$19)+'Frame Capacities'!$BD$19),(AND((O10&gt;'Frame Capacities'!$BQ$19),(O10&lt;='Frame Capacities'!$BR$19))),((O10-'Frame Capacities'!$BQ$19)*'Frame Capacities'!$BH$9*('Frame Capacities'!$BL$19)+'Frame Capacities'!$BE$19))</f>
        <v>99.99999227978364</v>
      </c>
      <c r="U10" s="431">
        <f>U9+T10*K10</f>
        <v>1238.4251946875524</v>
      </c>
      <c r="V10" s="495"/>
      <c r="W10" s="47"/>
      <c r="X10" s="69">
        <v>1</v>
      </c>
      <c r="Y10" s="70">
        <f>'Structural Information'!$Z$11</f>
        <v>40.367000000000004</v>
      </c>
      <c r="Z10" s="70">
        <f t="shared" si="5"/>
        <v>6.7156895291610591E-2</v>
      </c>
      <c r="AA10" s="70">
        <f t="shared" si="2"/>
        <v>0.18468146205192912</v>
      </c>
      <c r="AB10" s="68" t="s">
        <v>382</v>
      </c>
    </row>
    <row r="11" spans="2:28" x14ac:dyDescent="0.25">
      <c r="X11" s="496"/>
      <c r="Y11" s="68" t="s">
        <v>95</v>
      </c>
      <c r="Z11" s="497">
        <f>SUM(Z5:Z10)</f>
        <v>1.3806947246626657</v>
      </c>
      <c r="AA11" s="497">
        <f>SUM(AA5:AA10)</f>
        <v>17.098871541857882</v>
      </c>
      <c r="AB11" s="430">
        <f>2*PI()*SQRT(AB9/AB7)</f>
        <v>0.83852635202767545</v>
      </c>
    </row>
    <row r="13" spans="2:28" x14ac:dyDescent="0.25">
      <c r="B13" s="960" t="s">
        <v>113</v>
      </c>
      <c r="C13" s="960"/>
      <c r="D13" s="960"/>
      <c r="E13" s="960"/>
      <c r="F13" s="960"/>
      <c r="G13" s="960"/>
      <c r="H13" s="960"/>
      <c r="J13" s="925" t="s">
        <v>125</v>
      </c>
      <c r="K13" s="925"/>
      <c r="L13" s="925"/>
      <c r="M13" s="925"/>
      <c r="N13" s="925"/>
      <c r="O13" s="925"/>
      <c r="P13" s="925"/>
      <c r="Q13" s="925"/>
      <c r="R13" s="925"/>
      <c r="S13" s="925"/>
      <c r="T13" s="925"/>
      <c r="U13" s="925"/>
      <c r="V13" s="925"/>
      <c r="X13" s="928" t="s">
        <v>124</v>
      </c>
      <c r="Y13" s="928"/>
      <c r="Z13" s="928"/>
      <c r="AA13" s="928"/>
      <c r="AB13" s="928"/>
    </row>
    <row r="14" spans="2:28" ht="15" customHeight="1" x14ac:dyDescent="0.25">
      <c r="B14" s="590" t="s">
        <v>74</v>
      </c>
      <c r="C14" s="590" t="s">
        <v>116</v>
      </c>
      <c r="D14" s="590"/>
      <c r="E14" s="588" t="s">
        <v>114</v>
      </c>
      <c r="F14" s="588" t="s">
        <v>103</v>
      </c>
      <c r="G14" s="590" t="s">
        <v>108</v>
      </c>
      <c r="H14" s="590"/>
      <c r="J14" s="590" t="s">
        <v>9</v>
      </c>
      <c r="K14" s="588" t="s">
        <v>3</v>
      </c>
      <c r="L14" s="588" t="s">
        <v>89</v>
      </c>
      <c r="M14" s="590" t="s">
        <v>91</v>
      </c>
      <c r="N14" s="590" t="s">
        <v>98</v>
      </c>
      <c r="O14" s="588" t="s">
        <v>119</v>
      </c>
      <c r="P14" s="588" t="s">
        <v>286</v>
      </c>
      <c r="Q14" s="588" t="s">
        <v>287</v>
      </c>
      <c r="R14" s="590" t="s">
        <v>457</v>
      </c>
      <c r="S14" s="590" t="s">
        <v>458</v>
      </c>
      <c r="T14" s="590" t="s">
        <v>92</v>
      </c>
      <c r="U14" s="588" t="s">
        <v>120</v>
      </c>
      <c r="V14" s="590" t="s">
        <v>96</v>
      </c>
      <c r="X14" s="590" t="s">
        <v>9</v>
      </c>
      <c r="Y14" s="924" t="s">
        <v>93</v>
      </c>
      <c r="Z14" s="924" t="s">
        <v>94</v>
      </c>
      <c r="AA14" s="924" t="s">
        <v>122</v>
      </c>
      <c r="AB14" s="588" t="s">
        <v>123</v>
      </c>
    </row>
    <row r="15" spans="2:28" x14ac:dyDescent="0.25">
      <c r="B15" s="590"/>
      <c r="C15" s="68" t="s">
        <v>115</v>
      </c>
      <c r="D15" s="68" t="s">
        <v>117</v>
      </c>
      <c r="E15" s="588"/>
      <c r="F15" s="588"/>
      <c r="G15" s="590"/>
      <c r="H15" s="590"/>
      <c r="J15" s="590"/>
      <c r="K15" s="588"/>
      <c r="L15" s="588"/>
      <c r="M15" s="590"/>
      <c r="N15" s="590"/>
      <c r="O15" s="588"/>
      <c r="P15" s="588"/>
      <c r="Q15" s="588"/>
      <c r="R15" s="590"/>
      <c r="S15" s="590"/>
      <c r="T15" s="590"/>
      <c r="U15" s="588"/>
      <c r="V15" s="590"/>
      <c r="X15" s="590"/>
      <c r="Y15" s="924"/>
      <c r="Z15" s="924"/>
      <c r="AA15" s="924"/>
      <c r="AB15" s="588"/>
    </row>
    <row r="16" spans="2:28" x14ac:dyDescent="0.25">
      <c r="B16" s="68">
        <v>6</v>
      </c>
      <c r="C16" s="440">
        <f>'Yield Mechanism'!AE57</f>
        <v>2.4223968084162917</v>
      </c>
      <c r="D16" s="70">
        <f>'Yield Mechanism'!C16</f>
        <v>88.933333333333337</v>
      </c>
      <c r="E16" s="70">
        <f t="shared" ref="E16:E21" si="8">C16/D16</f>
        <v>2.7238344922222168E-2</v>
      </c>
      <c r="F16" s="69" t="s">
        <v>42</v>
      </c>
      <c r="G16" s="488" t="s">
        <v>109</v>
      </c>
      <c r="H16" s="488" t="s">
        <v>83</v>
      </c>
      <c r="J16" s="489">
        <v>6</v>
      </c>
      <c r="K16" s="431">
        <f>'Structural Information'!$U$6</f>
        <v>3</v>
      </c>
      <c r="L16" s="431">
        <f>L17+K16</f>
        <v>17.75</v>
      </c>
      <c r="M16" s="490">
        <f>'Yield Mechanism'!$X$57</f>
        <v>8.8706729885236167E-3</v>
      </c>
      <c r="N16" s="71">
        <f>M16-M17</f>
        <v>6.7920838535619546E-4</v>
      </c>
      <c r="O16" s="491">
        <f t="shared" ref="O16:O21" si="9">N16/K16</f>
        <v>2.2640279511873182E-4</v>
      </c>
      <c r="P16" s="490">
        <f>$C$26</f>
        <v>8.3119145368492249E-3</v>
      </c>
      <c r="Q16" s="490">
        <f>$D$26</f>
        <v>2.2387978504494433E-3</v>
      </c>
      <c r="R16" s="70">
        <f>O16/P16</f>
        <v>2.7238344922222182E-2</v>
      </c>
      <c r="S16" s="70">
        <f>O16/Q16</f>
        <v>0.10112694858684136</v>
      </c>
      <c r="T16" s="431">
        <f>_xlfn.IFS((O16&lt;='Infill Capacities'!$CW$14),(O16*'Infill Capacities'!$CR$14*'Infill Capacities'!$CQ$4),(AND((O16&gt;'Infill Capacities'!$CW$14),(O16&lt;='Infill Capacities'!$CX$14))),((O16-'Infill Capacities'!$CW$14)*'Infill Capacities'!$CQ$4*('Infill Capacities'!$CS$14)+'Infill Capacities'!$CM$14),(AND((O16&gt;'Infill Capacities'!$CX$14),(O16&lt;='Infill Capacities'!$CY$14))),((O16-'Infill Capacities'!$CX$14)*'Infill Capacities'!$CQ$4*('Infill Capacities'!$CT$14)+'Infill Capacities'!$CN$14),(AND((O16&gt;'Infill Capacities'!$CY$14),(O16&lt;='Infill Capacities'!$CZ$14))),((O16-'Infill Capacities'!$CY$14)*'Infill Capacities'!$CQ$4*('Infill Capacities'!$CU$14)+'Infill Capacities'!$CP$14))+_xlfn.IFS((O16&lt;='Frame Capacities'!$BO$14),(O16*'Frame Capacities'!$BH$4*'Frame Capacities'!$BI$14),(AND((O16&gt;'Frame Capacities'!$BO$14),(O16&lt;='Frame Capacities'!$BP$14))),((O16-'Frame Capacities'!$BO$14)*'Frame Capacities'!$BH$4*('Frame Capacities'!$BJ$14)+'Frame Capacities'!$BC$14),(AND((O16&gt;'Frame Capacities'!$BP$14),(O16&lt;='Frame Capacities'!$BQ$14))),((O16-'Frame Capacities'!$BP$14)*'Frame Capacities'!$BH$4*('Frame Capacities'!$BK$14)+'Frame Capacities'!$BD$14),(AND((O16&gt;'Frame Capacities'!$BQ$14),(O16&lt;='Frame Capacities'!$BR$14))),((O16-'Frame Capacities'!$BQ$14)*'Frame Capacities'!$BH$4*('Frame Capacities'!$BL$14)+'Frame Capacities'!$BE$14))</f>
        <v>24.314358638495708</v>
      </c>
      <c r="U16" s="431">
        <f>K16*T16</f>
        <v>72.943075915487128</v>
      </c>
      <c r="V16" s="70">
        <f>U21/AB16</f>
        <v>99.999998772354672</v>
      </c>
      <c r="W16" s="47"/>
      <c r="X16" s="69">
        <v>6</v>
      </c>
      <c r="Y16" s="70">
        <f>'Structural Information'!$Z$6</f>
        <v>37.8446</v>
      </c>
      <c r="Z16" s="70">
        <f t="shared" ref="Z16:Z21" si="10">Y16*M16</f>
        <v>0.33570707098148084</v>
      </c>
      <c r="AA16" s="70">
        <f t="shared" ref="AA16:AA21" si="11">Z16*L16</f>
        <v>5.9588005099212848</v>
      </c>
      <c r="AB16" s="70">
        <f>AA22/Z22</f>
        <v>12.384252098910217</v>
      </c>
    </row>
    <row r="17" spans="2:28" x14ac:dyDescent="0.25">
      <c r="B17" s="68">
        <v>5</v>
      </c>
      <c r="C17" s="440">
        <f>'Yield Mechanism'!AE58</f>
        <v>4.2538726288383506</v>
      </c>
      <c r="D17" s="70">
        <f>'Yield Mechanism'!C17</f>
        <v>104.39999999999999</v>
      </c>
      <c r="E17" s="70">
        <f t="shared" si="8"/>
        <v>4.0745906406497612E-2</v>
      </c>
      <c r="F17" s="69" t="s">
        <v>42</v>
      </c>
      <c r="G17" s="488" t="s">
        <v>109</v>
      </c>
      <c r="H17" s="488" t="s">
        <v>83</v>
      </c>
      <c r="J17" s="489">
        <v>5</v>
      </c>
      <c r="K17" s="431">
        <f>'Structural Information'!$U$7</f>
        <v>3</v>
      </c>
      <c r="L17" s="431">
        <f>L18+K17</f>
        <v>14.75</v>
      </c>
      <c r="M17" s="490">
        <f>'Yield Mechanism'!$X$58</f>
        <v>8.1914646031674213E-3</v>
      </c>
      <c r="N17" s="71">
        <f>M17-M18</f>
        <v>1.1731887339810039E-3</v>
      </c>
      <c r="O17" s="491">
        <f t="shared" si="9"/>
        <v>3.9106291132700129E-4</v>
      </c>
      <c r="P17" s="490">
        <f>$C$27</f>
        <v>9.597600000000003E-3</v>
      </c>
      <c r="Q17" s="490">
        <f>$D$27</f>
        <v>1.92360761471166E-3</v>
      </c>
      <c r="R17" s="70">
        <f t="shared" ref="R17:R19" si="12">O17/P17</f>
        <v>4.0745906406497577E-2</v>
      </c>
      <c r="S17" s="70">
        <f t="shared" ref="S17:S18" si="13">O17/Q17</f>
        <v>0.20329661222807119</v>
      </c>
      <c r="T17" s="431">
        <f>_xlfn.IFS((O17&lt;='Infill Capacities'!$CW$15),(O17*'Infill Capacities'!$CR$15*'Infill Capacities'!$CQ$5),(AND((O17&gt;'Infill Capacities'!$CW$15),(O17&lt;='Infill Capacities'!$CX$15))),((O17-'Infill Capacities'!$CW$15)*'Infill Capacities'!$CQ$5*('Infill Capacities'!$CS$15)+'Infill Capacities'!$CM$15),(AND((O17&gt;'Infill Capacities'!$CX$15),(O17&lt;='Infill Capacities'!$CY$15))),((O17-'Infill Capacities'!$CX$15)*'Infill Capacities'!$CQ$5*('Infill Capacities'!$CT$15)+'Infill Capacities'!$CN$15),(AND((O17&gt;'Infill Capacities'!$CY$15),(O17&lt;='Infill Capacities'!$CZ$15))),((O17-'Infill Capacities'!$CY$15)*'Infill Capacities'!$CQ$5*('Infill Capacities'!$CU$15)+'Infill Capacities'!$CP$15))+_xlfn.IFS((O17&lt;='Frame Capacities'!$BO$15),(O17*'Frame Capacities'!$BH$5*'Frame Capacities'!$BI$15),(AND((O17&gt;'Frame Capacities'!$BO$15),(O17&lt;='Frame Capacities'!$BP$15))),((O17-'Frame Capacities'!$BO$15)*'Frame Capacities'!$BH$5*('Frame Capacities'!$BJ$15)+'Frame Capacities'!$BC$15),(AND((O17&gt;'Frame Capacities'!$BP$15),(O17&lt;='Frame Capacities'!$BQ$15))),((O17-'Frame Capacities'!$BP$15)*'Frame Capacities'!$BH$5*('Frame Capacities'!$BK$15)+'Frame Capacities'!$BD$15),(AND((O17&gt;'Frame Capacities'!$BQ$15),(O17&lt;='Frame Capacities'!$BR$15))),((O17-'Frame Capacities'!$BQ$15)*'Frame Capacities'!$BH$5*('Frame Capacities'!$BL$15)+'Frame Capacities'!$BE$15))</f>
        <v>48.263523243971207</v>
      </c>
      <c r="U17" s="431">
        <f>U16+T17*K17</f>
        <v>217.73364564740075</v>
      </c>
      <c r="V17" s="492"/>
      <c r="W17" s="47"/>
      <c r="X17" s="69">
        <v>5</v>
      </c>
      <c r="Y17" s="70">
        <f>'Structural Information'!$Z$7</f>
        <v>40.367000000000004</v>
      </c>
      <c r="Z17" s="70">
        <f t="shared" si="10"/>
        <v>0.33066485163605935</v>
      </c>
      <c r="AA17" s="70">
        <f t="shared" si="11"/>
        <v>4.8773065616318751</v>
      </c>
      <c r="AB17" s="68" t="s">
        <v>381</v>
      </c>
    </row>
    <row r="18" spans="2:28" x14ac:dyDescent="0.25">
      <c r="B18" s="68">
        <v>4</v>
      </c>
      <c r="C18" s="440">
        <f>'Yield Mechanism'!AE59</f>
        <v>6.7329287016834556</v>
      </c>
      <c r="D18" s="70">
        <f>'Yield Mechanism'!C18</f>
        <v>114.33333333333333</v>
      </c>
      <c r="E18" s="70">
        <f t="shared" si="8"/>
        <v>5.8888589227552093E-2</v>
      </c>
      <c r="F18" s="69" t="s">
        <v>42</v>
      </c>
      <c r="G18" s="488" t="s">
        <v>118</v>
      </c>
      <c r="H18" s="488" t="s">
        <v>83</v>
      </c>
      <c r="J18" s="489">
        <v>4</v>
      </c>
      <c r="K18" s="431">
        <f>'Structural Information'!$U$8</f>
        <v>3</v>
      </c>
      <c r="L18" s="431">
        <f>L19+K18</f>
        <v>11.75</v>
      </c>
      <c r="M18" s="490">
        <f>'Yield Mechanism'!$X$59</f>
        <v>7.0182758691864173E-3</v>
      </c>
      <c r="N18" s="491">
        <f>M18-M19</f>
        <v>1.5927336164272138E-3</v>
      </c>
      <c r="O18" s="491">
        <f t="shared" si="9"/>
        <v>5.3091120547573789E-4</v>
      </c>
      <c r="P18" s="490">
        <f>$C$28</f>
        <v>9.015519176800749E-3</v>
      </c>
      <c r="Q18" s="490">
        <f>$D$28</f>
        <v>1.852250472241956E-3</v>
      </c>
      <c r="R18" s="70">
        <f t="shared" si="12"/>
        <v>5.8888589227552093E-2</v>
      </c>
      <c r="S18" s="70">
        <f t="shared" si="13"/>
        <v>0.28663035233735168</v>
      </c>
      <c r="T18" s="431">
        <f>_xlfn.IFS((O18&lt;='Infill Capacities'!$CW$16),(O18*'Infill Capacities'!$CR$16*'Infill Capacities'!$CQ$6),(AND((O18&gt;'Infill Capacities'!$CW$16),(O18&lt;='Infill Capacities'!$CX$16))),((O18-'Infill Capacities'!$CW$16)*'Infill Capacities'!$CQ$6*('Infill Capacities'!$CS$16)+'Infill Capacities'!$CM$16),(AND((O18&gt;'Infill Capacities'!$CX$16),(O18&lt;='Infill Capacities'!$CY$16))),((O18-'Infill Capacities'!$CX$16)*'Infill Capacities'!$CQ$6*('Infill Capacities'!$CT$16)+'Infill Capacities'!$CN$16),(AND((O18&gt;'Infill Capacities'!$CY$16),(O18&lt;='Infill Capacities'!$CZ$16))),((O18-'Infill Capacities'!$CY$16)*'Infill Capacities'!$CQ$6*('Infill Capacities'!$CU$16)+'Infill Capacities'!$CP$16))+_xlfn.IFS((O18&lt;='Frame Capacities'!$BO$16),(O18*'Frame Capacities'!$BH$6*'Frame Capacities'!$BI$16),(AND((O18&gt;'Frame Capacities'!$BO$16),(O18&lt;='Frame Capacities'!$BP$16))),((O18-'Frame Capacities'!$BO$16)*'Frame Capacities'!$BH$6*('Frame Capacities'!$BJ$16)+'Frame Capacities'!$BC$16),(AND((O18&gt;'Frame Capacities'!$BP$16),(O18&lt;='Frame Capacities'!$BQ$16))),((O18-'Frame Capacities'!$BP$16)*'Frame Capacities'!$BH$6*('Frame Capacities'!$BK$16)+'Frame Capacities'!$BD$16),(AND((O18&gt;'Frame Capacities'!$BQ$16),(O18&lt;='Frame Capacities'!$BR$16))),((O18-'Frame Capacities'!$BQ$16)*'Frame Capacities'!$BH$6*('Frame Capacities'!$BL$16)+'Frame Capacities'!$BE$16))</f>
        <v>68.782667375673356</v>
      </c>
      <c r="U18" s="431">
        <f>U17+T18*K18</f>
        <v>424.08164777442084</v>
      </c>
      <c r="V18" s="493" t="s">
        <v>130</v>
      </c>
      <c r="W18" s="47"/>
      <c r="X18" s="69">
        <v>4</v>
      </c>
      <c r="Y18" s="70">
        <f>'Structural Information'!$Z$8</f>
        <v>40.367000000000004</v>
      </c>
      <c r="Z18" s="70">
        <f t="shared" si="10"/>
        <v>0.28330674201144812</v>
      </c>
      <c r="AA18" s="70">
        <f t="shared" si="11"/>
        <v>3.3288542186345156</v>
      </c>
      <c r="AB18" s="430">
        <f>T21/M16</f>
        <v>11273.100970936261</v>
      </c>
    </row>
    <row r="19" spans="2:28" x14ac:dyDescent="0.25">
      <c r="B19" s="68">
        <v>3</v>
      </c>
      <c r="C19" s="440">
        <f>'Yield Mechanism'!AE60</f>
        <v>11.00388597925231</v>
      </c>
      <c r="D19" s="70">
        <f>'Yield Mechanism'!C19</f>
        <v>154.19999999999999</v>
      </c>
      <c r="E19" s="70">
        <f t="shared" si="8"/>
        <v>7.1361128270118743E-2</v>
      </c>
      <c r="F19" s="69" t="s">
        <v>42</v>
      </c>
      <c r="G19" s="488" t="s">
        <v>109</v>
      </c>
      <c r="H19" s="488" t="s">
        <v>83</v>
      </c>
      <c r="J19" s="489">
        <v>3</v>
      </c>
      <c r="K19" s="431">
        <f>'Structural Information'!$U$9</f>
        <v>3</v>
      </c>
      <c r="L19" s="431">
        <f>L20+K19</f>
        <v>8.75</v>
      </c>
      <c r="M19" s="490">
        <f>'Yield Mechanism'!$X$60</f>
        <v>5.4255422527592035E-3</v>
      </c>
      <c r="N19" s="71">
        <f>M19-M20</f>
        <v>1.83730679743837E-3</v>
      </c>
      <c r="O19" s="491">
        <f t="shared" si="9"/>
        <v>6.1243559914612338E-4</v>
      </c>
      <c r="P19" s="490">
        <f>$C$29</f>
        <v>8.5822017391304368E-3</v>
      </c>
      <c r="Q19" s="490">
        <f>$D$29</f>
        <v>1.7915672005543457E-3</v>
      </c>
      <c r="R19" s="431">
        <f t="shared" si="12"/>
        <v>7.1361128270118757E-2</v>
      </c>
      <c r="S19" s="70">
        <f>O19/Q19</f>
        <v>0.34184349822692889</v>
      </c>
      <c r="T19" s="431">
        <f>_xlfn.IFS((O19&lt;='Infill Capacities'!$CW$17),(O19*'Infill Capacities'!$CR$17*'Infill Capacities'!$CQ$7),(AND((O19&gt;'Infill Capacities'!$CW$17),(O19&lt;='Infill Capacities'!$CX$17))),((O19-'Infill Capacities'!$CW$17)*'Infill Capacities'!$CQ$7*('Infill Capacities'!$CS$17)+'Infill Capacities'!$CM$17),(AND((O19&gt;'Infill Capacities'!$CX$17),(O19&lt;='Infill Capacities'!$CY$17))),((O19-'Infill Capacities'!$CX$17)*'Infill Capacities'!$CQ$7*('Infill Capacities'!$CT$17)+'Infill Capacities'!$CN$17),(AND((O19&gt;'Infill Capacities'!$CY$17),(O19&lt;='Infill Capacities'!$CZ$17))),((O19-'Infill Capacities'!$CY$17)*'Infill Capacities'!$CQ$7*('Infill Capacities'!$CU$17)+'Infill Capacities'!$CP$17))+_xlfn.IFS((O19&lt;='Frame Capacities'!$BO$17),(O19*'Frame Capacities'!$BH$7*'Frame Capacities'!$BI$17),(AND((O19&gt;'Frame Capacities'!$BO$17),(O19&lt;='Frame Capacities'!$BP$17))),((O19-'Frame Capacities'!$BO$17)*'Frame Capacities'!$BH$7*('Frame Capacities'!$BJ$17)+'Frame Capacities'!$BC$17),(AND((O19&gt;'Frame Capacities'!$BP$17),(O19&lt;='Frame Capacities'!$BQ$17))),((O19-'Frame Capacities'!$BP$17)*'Frame Capacities'!$BH$7*('Frame Capacities'!$BK$17)+'Frame Capacities'!$BD$17),(AND((O19&gt;'Frame Capacities'!$BQ$17),(O19&lt;='Frame Capacities'!$BR$17))),((O19-'Frame Capacities'!$BQ$17)*'Frame Capacities'!$BH$7*('Frame Capacities'!$BL$17)+'Frame Capacities'!$BE$17))</f>
        <v>84.645179741290264</v>
      </c>
      <c r="U19" s="431">
        <f>U18+T19*K19</f>
        <v>678.01718699829166</v>
      </c>
      <c r="V19" s="494">
        <v>0</v>
      </c>
      <c r="W19" s="47"/>
      <c r="X19" s="69">
        <v>3</v>
      </c>
      <c r="Y19" s="70">
        <f>'Structural Information'!$Z$9</f>
        <v>40.367000000000004</v>
      </c>
      <c r="Z19" s="70">
        <f t="shared" si="10"/>
        <v>0.21901286411713081</v>
      </c>
      <c r="AA19" s="70">
        <f t="shared" si="11"/>
        <v>1.9163625610248947</v>
      </c>
      <c r="AB19" s="351" t="s">
        <v>383</v>
      </c>
    </row>
    <row r="20" spans="2:28" x14ac:dyDescent="0.25">
      <c r="B20" s="68">
        <v>2</v>
      </c>
      <c r="C20" s="440">
        <f>'Yield Mechanism'!AE61</f>
        <v>15.448315240292924</v>
      </c>
      <c r="D20" s="70">
        <f>'Yield Mechanism'!C20</f>
        <v>162.6</v>
      </c>
      <c r="E20" s="70">
        <f t="shared" si="8"/>
        <v>9.5008088808689578E-2</v>
      </c>
      <c r="F20" s="69" t="s">
        <v>42</v>
      </c>
      <c r="G20" s="488" t="s">
        <v>109</v>
      </c>
      <c r="H20" s="488" t="s">
        <v>83</v>
      </c>
      <c r="J20" s="489">
        <v>2</v>
      </c>
      <c r="K20" s="431">
        <f>'Structural Information'!$U$10</f>
        <v>3</v>
      </c>
      <c r="L20" s="431">
        <f>L21+K20</f>
        <v>5.75</v>
      </c>
      <c r="M20" s="490">
        <f>'Yield Mechanism'!$X$61</f>
        <v>3.5882354553208335E-3</v>
      </c>
      <c r="N20" s="71">
        <f>M20-M21</f>
        <v>1.9245771380911512E-3</v>
      </c>
      <c r="O20" s="491">
        <f t="shared" si="9"/>
        <v>6.4152571269705035E-4</v>
      </c>
      <c r="P20" s="490">
        <f>$C$30</f>
        <v>6.7523273096129852E-3</v>
      </c>
      <c r="Q20" s="490">
        <f>$D$30</f>
        <v>1.7342707198796904E-3</v>
      </c>
      <c r="R20" s="70">
        <f>O20/P20</f>
        <v>9.5008088808689564E-2</v>
      </c>
      <c r="S20" s="70">
        <f t="shared" ref="S20:S21" si="14">O20/Q20</f>
        <v>0.36991094028362204</v>
      </c>
      <c r="T20" s="431">
        <f>_xlfn.IFS((O20&lt;='Infill Capacities'!$CW$18),(O20*'Infill Capacities'!$CR$18*'Infill Capacities'!$CQ$8),(AND((O20&gt;'Infill Capacities'!$CW$18),(O20&lt;='Infill Capacities'!$CX$18))),((O20-'Infill Capacities'!$CW$18)*'Infill Capacities'!$CQ$8*('Infill Capacities'!$CS$18)+'Infill Capacities'!$CM$18),(AND((O20&gt;'Infill Capacities'!$CX$18),(O20&lt;='Infill Capacities'!$CY$18))),((O20-'Infill Capacities'!$CX$18)*'Infill Capacities'!$CQ$8*('Infill Capacities'!$CT$18)+'Infill Capacities'!$CN$18),(AND((O20&gt;'Infill Capacities'!$CY$18),(O20&lt;='Infill Capacities'!$CZ$18))),((O20-'Infill Capacities'!$CY$18)*'Infill Capacities'!$CQ$8*('Infill Capacities'!$CU$18)+'Infill Capacities'!$CP$18))+_xlfn.IFS((O20&lt;='Frame Capacities'!$BO$18),(O20*'Frame Capacities'!$BH$8*'Frame Capacities'!$BI$18),(AND((O20&gt;'Frame Capacities'!$BO$18),(O20&lt;='Frame Capacities'!$BP$18))),((O20-'Frame Capacities'!$BO$18)*'Frame Capacities'!$BH$8*('Frame Capacities'!$BJ$18)+'Frame Capacities'!$BC$18),(AND((O20&gt;'Frame Capacities'!$BP$18),(O20&lt;='Frame Capacities'!$BQ$18))),((O20-'Frame Capacities'!$BP$18)*'Frame Capacities'!$BH$8*('Frame Capacities'!$BK$18)+'Frame Capacities'!$BD$18),(AND((O20&gt;'Frame Capacities'!$BQ$18),(O20&lt;='Frame Capacities'!$BR$18))),((O20-'Frame Capacities'!$BQ$18)*'Frame Capacities'!$BH$8*('Frame Capacities'!$BL$18)+'Frame Capacities'!$BE$18))</f>
        <v>95.136009639951936</v>
      </c>
      <c r="U20" s="431">
        <f>U19+T20*K20</f>
        <v>963.4252159181475</v>
      </c>
      <c r="V20" s="492"/>
      <c r="W20" s="47"/>
      <c r="X20" s="69">
        <v>2</v>
      </c>
      <c r="Y20" s="70">
        <f>'Structural Information'!$Z$10</f>
        <v>40.367000000000004</v>
      </c>
      <c r="Z20" s="70">
        <f t="shared" si="10"/>
        <v>0.14484630062493611</v>
      </c>
      <c r="AA20" s="70">
        <f t="shared" si="11"/>
        <v>0.83286622859338266</v>
      </c>
      <c r="AB20" s="70">
        <f>(('Structural Information'!$Z$6*M16+'Structural Information'!$Z$7*M17+'Structural Information'!$Z$8*M18+'Structural Information'!$Z$9*M19+'Structural Information'!$Z$10*M20+'Structural Information'!$Z$11*M21)^2)/('Structural Information'!$Z$6*M16*M16+'Structural Information'!$Z$7*M17*M17+'Structural Information'!$Z$8*M18*M18+'Structural Information'!$Z$9*M19*M19+'Structural Information'!$Z$10*M20*M20+'Structural Information'!$Z$11*M21*M21)</f>
        <v>200.77844728267124</v>
      </c>
    </row>
    <row r="21" spans="2:28" x14ac:dyDescent="0.25">
      <c r="B21" s="68">
        <v>1</v>
      </c>
      <c r="C21" s="440">
        <f>'Yield Mechanism'!AE62</f>
        <v>28.156496880623202</v>
      </c>
      <c r="D21" s="70">
        <f>'Yield Mechanism'!C21</f>
        <v>247.23636363636362</v>
      </c>
      <c r="E21" s="70">
        <f t="shared" si="8"/>
        <v>0.11388493369865246</v>
      </c>
      <c r="F21" s="69" t="s">
        <v>42</v>
      </c>
      <c r="G21" s="488" t="s">
        <v>109</v>
      </c>
      <c r="H21" s="488" t="s">
        <v>83</v>
      </c>
      <c r="J21" s="489">
        <v>1</v>
      </c>
      <c r="K21" s="431">
        <f>'Structural Information'!$U$11</f>
        <v>2.75</v>
      </c>
      <c r="L21" s="431">
        <f>K21</f>
        <v>2.75</v>
      </c>
      <c r="M21" s="490">
        <f>'Yield Mechanism'!$X$62</f>
        <v>1.6636583172296823E-3</v>
      </c>
      <c r="N21" s="71">
        <f>M21</f>
        <v>1.6636583172296823E-3</v>
      </c>
      <c r="O21" s="491">
        <f t="shared" si="9"/>
        <v>6.0496666081079353E-4</v>
      </c>
      <c r="P21" s="490">
        <f>$C$31</f>
        <v>5.3120868684138484E-3</v>
      </c>
      <c r="Q21" s="490">
        <f>$D$31</f>
        <v>1.7606502644787157E-3</v>
      </c>
      <c r="R21" s="70">
        <f t="shared" ref="R21" si="15">O21/P21</f>
        <v>0.11388493369865246</v>
      </c>
      <c r="S21" s="70">
        <f t="shared" si="14"/>
        <v>0.34360410640094324</v>
      </c>
      <c r="T21" s="431">
        <f>_xlfn.IFS((O21&lt;='Infill Capacities'!$CW$19),(O21*'Infill Capacities'!$CR$19*'Infill Capacities'!$CQ$9),(AND((O21&gt;'Infill Capacities'!$CW$19),(O21&lt;='Infill Capacities'!$CX$19))),((O21-'Infill Capacities'!$CW$19)*'Infill Capacities'!$CQ$9*('Infill Capacities'!$CS$19)+'Infill Capacities'!$CM$19),(AND((O21&gt;'Infill Capacities'!$CX$19),(O21&lt;='Infill Capacities'!$CY$19))),((O21-'Infill Capacities'!$CX$19)*'Infill Capacities'!$CQ$9*('Infill Capacities'!$CT$19)+'Infill Capacities'!$CN$19),(AND((O21&gt;'Infill Capacities'!$CY$19),(O21&lt;='Infill Capacities'!$CZ$19))),((O21-'Infill Capacities'!$CY$19)*'Infill Capacities'!$CQ$9*('Infill Capacities'!$CU$19)+'Infill Capacities'!$CP$19))+_xlfn.IFS((O21&lt;='Frame Capacities'!$BO$19),(O21*'Frame Capacities'!$BH$9*'Frame Capacities'!$BI$19),(AND((O21&gt;'Frame Capacities'!$BO$19),(O21&lt;='Frame Capacities'!$BP$19))),((O21-'Frame Capacities'!$BO$19)*'Frame Capacities'!$BH$9*('Frame Capacities'!$BJ$19)+'Frame Capacities'!$BC$19),(AND((O21&gt;'Frame Capacities'!$BP$19),(O21&lt;='Frame Capacities'!$BQ$19))),((O21-'Frame Capacities'!$BP$19)*'Frame Capacities'!$BH$9*('Frame Capacities'!$BK$19)+'Frame Capacities'!$BD$19),(AND((O21&gt;'Frame Capacities'!$BQ$19),(O21&lt;='Frame Capacities'!$BR$19))),((O21-'Frame Capacities'!$BQ$19)*'Frame Capacities'!$BH$9*('Frame Capacities'!$BL$19)+'Frame Capacities'!$BE$19))</f>
        <v>99.99999227978364</v>
      </c>
      <c r="U21" s="431">
        <f>U20+T21*K21</f>
        <v>1238.4251946875524</v>
      </c>
      <c r="V21" s="495"/>
      <c r="W21" s="47"/>
      <c r="X21" s="69">
        <v>1</v>
      </c>
      <c r="Y21" s="70">
        <f>'Structural Information'!$Z$11</f>
        <v>40.367000000000004</v>
      </c>
      <c r="Z21" s="70">
        <f t="shared" si="10"/>
        <v>6.7156895291610591E-2</v>
      </c>
      <c r="AA21" s="70">
        <f t="shared" si="11"/>
        <v>0.18468146205192912</v>
      </c>
      <c r="AB21" s="68" t="s">
        <v>382</v>
      </c>
    </row>
    <row r="22" spans="2:28" x14ac:dyDescent="0.25">
      <c r="X22" s="496"/>
      <c r="Y22" s="68" t="s">
        <v>95</v>
      </c>
      <c r="Z22" s="497">
        <f>SUM(Z16:Z21)</f>
        <v>1.3806947246626657</v>
      </c>
      <c r="AA22" s="497">
        <f>SUM(AA16:AA21)</f>
        <v>17.098871541857882</v>
      </c>
      <c r="AB22" s="430">
        <f>2*PI()*SQRT(AB20/AB18)</f>
        <v>0.83852635202767545</v>
      </c>
    </row>
    <row r="24" spans="2:28" ht="15.75" customHeight="1" x14ac:dyDescent="0.25">
      <c r="B24" s="961" t="s">
        <v>285</v>
      </c>
      <c r="C24" s="962"/>
      <c r="D24" s="962"/>
      <c r="E24" s="962"/>
      <c r="F24" s="962"/>
      <c r="G24" s="962"/>
      <c r="H24" s="963"/>
      <c r="J24" s="944" t="s">
        <v>126</v>
      </c>
      <c r="K24" s="945"/>
      <c r="L24" s="945"/>
      <c r="M24" s="945"/>
      <c r="N24" s="945"/>
      <c r="O24" s="945"/>
      <c r="P24" s="945"/>
      <c r="Q24" s="945"/>
      <c r="R24" s="945"/>
      <c r="S24" s="945"/>
      <c r="T24" s="945"/>
      <c r="U24" s="945"/>
      <c r="V24" s="946"/>
      <c r="X24" s="927" t="s">
        <v>124</v>
      </c>
      <c r="Y24" s="927"/>
      <c r="Z24" s="927"/>
      <c r="AA24" s="927"/>
      <c r="AB24" s="927"/>
    </row>
    <row r="25" spans="2:28" ht="15" customHeight="1" x14ac:dyDescent="0.25">
      <c r="B25" s="68" t="s">
        <v>9</v>
      </c>
      <c r="C25" s="68" t="s">
        <v>345</v>
      </c>
      <c r="D25" s="68" t="s">
        <v>288</v>
      </c>
      <c r="E25" s="498" t="s">
        <v>87</v>
      </c>
      <c r="F25" s="351" t="s">
        <v>211</v>
      </c>
      <c r="G25" s="351" t="s">
        <v>212</v>
      </c>
      <c r="H25" s="68" t="s">
        <v>240</v>
      </c>
      <c r="J25" s="590" t="s">
        <v>9</v>
      </c>
      <c r="K25" s="588" t="s">
        <v>3</v>
      </c>
      <c r="L25" s="588" t="s">
        <v>89</v>
      </c>
      <c r="M25" s="590" t="s">
        <v>91</v>
      </c>
      <c r="N25" s="590" t="s">
        <v>98</v>
      </c>
      <c r="O25" s="588" t="s">
        <v>119</v>
      </c>
      <c r="P25" s="588" t="s">
        <v>286</v>
      </c>
      <c r="Q25" s="588" t="s">
        <v>287</v>
      </c>
      <c r="R25" s="590" t="s">
        <v>457</v>
      </c>
      <c r="S25" s="590" t="s">
        <v>458</v>
      </c>
      <c r="T25" s="590" t="s">
        <v>92</v>
      </c>
      <c r="U25" s="588" t="s">
        <v>120</v>
      </c>
      <c r="V25" s="590" t="s">
        <v>96</v>
      </c>
      <c r="X25" s="590" t="s">
        <v>9</v>
      </c>
      <c r="Y25" s="924" t="s">
        <v>93</v>
      </c>
      <c r="Z25" s="924" t="s">
        <v>94</v>
      </c>
      <c r="AA25" s="924" t="s">
        <v>122</v>
      </c>
      <c r="AB25" s="588" t="s">
        <v>123</v>
      </c>
    </row>
    <row r="26" spans="2:28" x14ac:dyDescent="0.25">
      <c r="B26" s="74">
        <v>6</v>
      </c>
      <c r="C26" s="201">
        <f>'Frame Capacities'!BO14</f>
        <v>8.3119145368492249E-3</v>
      </c>
      <c r="D26" s="27">
        <f>'Infill Capacities'!CW14</f>
        <v>2.2387978504494433E-3</v>
      </c>
      <c r="E26" s="56">
        <f>'System Capacities'!Q6</f>
        <v>2.2387978504494433E-3</v>
      </c>
      <c r="F26" s="499">
        <f>'System Capacities'!N6</f>
        <v>88.933333333333337</v>
      </c>
      <c r="G26" s="26">
        <f>'System Capacities'!O6</f>
        <v>216.48000000000002</v>
      </c>
      <c r="H26" s="328">
        <f>'System Capacities'!P6</f>
        <v>240.43401860994643</v>
      </c>
      <c r="J26" s="590"/>
      <c r="K26" s="588"/>
      <c r="L26" s="588"/>
      <c r="M26" s="590"/>
      <c r="N26" s="590"/>
      <c r="O26" s="588"/>
      <c r="P26" s="588"/>
      <c r="Q26" s="588"/>
      <c r="R26" s="590"/>
      <c r="S26" s="590"/>
      <c r="T26" s="590"/>
      <c r="U26" s="588"/>
      <c r="V26" s="590"/>
      <c r="X26" s="590"/>
      <c r="Y26" s="924"/>
      <c r="Z26" s="924"/>
      <c r="AA26" s="924"/>
      <c r="AB26" s="588"/>
    </row>
    <row r="27" spans="2:28" x14ac:dyDescent="0.25">
      <c r="B27" s="74">
        <v>5</v>
      </c>
      <c r="C27" s="201">
        <f>'Frame Capacities'!BO15</f>
        <v>9.597600000000003E-3</v>
      </c>
      <c r="D27" s="27">
        <f>'Infill Capacities'!CW15</f>
        <v>1.92360761471166E-3</v>
      </c>
      <c r="E27" s="56">
        <f>'System Capacities'!Q7</f>
        <v>1.92360761471166E-3</v>
      </c>
      <c r="F27" s="499">
        <f>'System Capacities'!N7</f>
        <v>104.39999999999999</v>
      </c>
      <c r="G27" s="26">
        <f>'System Capacities'!O7</f>
        <v>216.48000000000002</v>
      </c>
      <c r="H27" s="328">
        <f>'System Capacities'!P7</f>
        <v>237.40446392597082</v>
      </c>
      <c r="J27" s="489">
        <v>6</v>
      </c>
      <c r="K27" s="431">
        <f>'Structural Information'!$U$6</f>
        <v>3</v>
      </c>
      <c r="L27" s="431">
        <f>L28+K27</f>
        <v>17.75</v>
      </c>
      <c r="M27" s="490">
        <f>'Yield Mechanism'!$X$57</f>
        <v>8.8706729885236167E-3</v>
      </c>
      <c r="N27" s="71">
        <f>M27-M28</f>
        <v>6.7920838535619546E-4</v>
      </c>
      <c r="O27" s="491">
        <f t="shared" ref="O27:O32" si="16">N27/K27</f>
        <v>2.2640279511873182E-4</v>
      </c>
      <c r="P27" s="490">
        <f>$C$26</f>
        <v>8.3119145368492249E-3</v>
      </c>
      <c r="Q27" s="490">
        <f>$D$26</f>
        <v>2.2387978504494433E-3</v>
      </c>
      <c r="R27" s="70">
        <f>O27/P27</f>
        <v>2.7238344922222182E-2</v>
      </c>
      <c r="S27" s="70">
        <f>O27/Q27</f>
        <v>0.10112694858684136</v>
      </c>
      <c r="T27" s="431">
        <f>_xlfn.IFS((O27&lt;='Infill Capacities'!$CW$14),(O27*'Infill Capacities'!$CR$14*'Infill Capacities'!$CQ$4),(AND((O27&gt;'Infill Capacities'!$CW$14),(O27&lt;='Infill Capacities'!$CX$14))),((O27-'Infill Capacities'!$CW$14)*'Infill Capacities'!$CQ$4*('Infill Capacities'!$CS$14)+'Infill Capacities'!$CM$14),(AND((O27&gt;'Infill Capacities'!$CX$14),(O27&lt;='Infill Capacities'!$CY$14))),((O27-'Infill Capacities'!$CX$14)*'Infill Capacities'!$CQ$4*('Infill Capacities'!$CT$14)+'Infill Capacities'!$CN$14),(AND((O27&gt;'Infill Capacities'!$CY$14),(O27&lt;='Infill Capacities'!$CZ$14))),((O27-'Infill Capacities'!$CY$14)*'Infill Capacities'!$CQ$4*('Infill Capacities'!$CU$14)+'Infill Capacities'!$CP$14))+_xlfn.IFS((O27&lt;='Frame Capacities'!$BO$14),(O27*'Frame Capacities'!$BH$4*'Frame Capacities'!$BI$14),(AND((O27&gt;'Frame Capacities'!$BO$14),(O27&lt;='Frame Capacities'!$BP$14))),((O27-'Frame Capacities'!$BO$14)*'Frame Capacities'!$BH$4*('Frame Capacities'!$BJ$14)+'Frame Capacities'!$BC$14),(AND((O27&gt;'Frame Capacities'!$BP$14),(O27&lt;='Frame Capacities'!$BQ$14))),((O27-'Frame Capacities'!$BP$14)*'Frame Capacities'!$BH$4*('Frame Capacities'!$BK$14)+'Frame Capacities'!$BD$14),(AND((O27&gt;'Frame Capacities'!$BQ$14),(O27&lt;='Frame Capacities'!$BR$14))),((O27-'Frame Capacities'!$BQ$14)*'Frame Capacities'!$BH$4*('Frame Capacities'!$BL$14)+'Frame Capacities'!$BE$14))</f>
        <v>24.314358638495708</v>
      </c>
      <c r="U27" s="431">
        <f>K27*T27</f>
        <v>72.943075915487128</v>
      </c>
      <c r="V27" s="70">
        <f>U32/AB27</f>
        <v>99.999998772354672</v>
      </c>
      <c r="W27" s="47"/>
      <c r="X27" s="69">
        <v>6</v>
      </c>
      <c r="Y27" s="70">
        <f>'Structural Information'!$Z$6</f>
        <v>37.8446</v>
      </c>
      <c r="Z27" s="70">
        <f t="shared" ref="Z27:Z32" si="17">Y27*M27</f>
        <v>0.33570707098148084</v>
      </c>
      <c r="AA27" s="70">
        <f t="shared" ref="AA27:AA32" si="18">Z27*L27</f>
        <v>5.9588005099212848</v>
      </c>
      <c r="AB27" s="70">
        <f>AA33/Z33</f>
        <v>12.384252098910217</v>
      </c>
    </row>
    <row r="28" spans="2:28" x14ac:dyDescent="0.25">
      <c r="B28" s="74">
        <v>4</v>
      </c>
      <c r="C28" s="201">
        <f>'Frame Capacities'!BO16</f>
        <v>9.015519176800749E-3</v>
      </c>
      <c r="D28" s="27">
        <f>'Infill Capacities'!CW16</f>
        <v>1.852250472241956E-3</v>
      </c>
      <c r="E28" s="56">
        <f>'System Capacities'!Q8</f>
        <v>1.852250472241956E-3</v>
      </c>
      <c r="F28" s="499">
        <f>'System Capacities'!N8</f>
        <v>114.33333333333333</v>
      </c>
      <c r="G28" s="26">
        <f>'System Capacities'!O8</f>
        <v>216.48000000000002</v>
      </c>
      <c r="H28" s="328">
        <f>'System Capacities'!P8</f>
        <v>239.96993624289689</v>
      </c>
      <c r="J28" s="489">
        <v>5</v>
      </c>
      <c r="K28" s="431">
        <f>'Structural Information'!$U$7</f>
        <v>3</v>
      </c>
      <c r="L28" s="431">
        <f>L29+K28</f>
        <v>14.75</v>
      </c>
      <c r="M28" s="490">
        <f>'Yield Mechanism'!$X$58</f>
        <v>8.1914646031674213E-3</v>
      </c>
      <c r="N28" s="71">
        <f>M28-M29</f>
        <v>1.1731887339810039E-3</v>
      </c>
      <c r="O28" s="491">
        <f t="shared" si="16"/>
        <v>3.9106291132700129E-4</v>
      </c>
      <c r="P28" s="490">
        <f>$C$27</f>
        <v>9.597600000000003E-3</v>
      </c>
      <c r="Q28" s="490">
        <f>$D$27</f>
        <v>1.92360761471166E-3</v>
      </c>
      <c r="R28" s="70">
        <f t="shared" ref="R28:R30" si="19">O28/P28</f>
        <v>4.0745906406497577E-2</v>
      </c>
      <c r="S28" s="70">
        <f t="shared" ref="S28:S29" si="20">O28/Q28</f>
        <v>0.20329661222807119</v>
      </c>
      <c r="T28" s="431">
        <f>_xlfn.IFS((O28&lt;='Infill Capacities'!$CW$15),(O28*'Infill Capacities'!$CR$15*'Infill Capacities'!$CQ$5),(AND((O28&gt;'Infill Capacities'!$CW$15),(O28&lt;='Infill Capacities'!$CX$15))),((O28-'Infill Capacities'!$CW$15)*'Infill Capacities'!$CQ$5*('Infill Capacities'!$CS$15)+'Infill Capacities'!$CM$15),(AND((O28&gt;'Infill Capacities'!$CX$15),(O28&lt;='Infill Capacities'!$CY$15))),((O28-'Infill Capacities'!$CX$15)*'Infill Capacities'!$CQ$5*('Infill Capacities'!$CT$15)+'Infill Capacities'!$CN$15),(AND((O28&gt;'Infill Capacities'!$CY$15),(O28&lt;='Infill Capacities'!$CZ$15))),((O28-'Infill Capacities'!$CY$15)*'Infill Capacities'!$CQ$5*('Infill Capacities'!$CU$15)+'Infill Capacities'!$CP$15))+_xlfn.IFS((O28&lt;='Frame Capacities'!$BO$15),(O28*'Frame Capacities'!$BH$5*'Frame Capacities'!$BI$15),(AND((O28&gt;'Frame Capacities'!$BO$15),(O28&lt;='Frame Capacities'!$BP$15))),((O28-'Frame Capacities'!$BO$15)*'Frame Capacities'!$BH$5*('Frame Capacities'!$BJ$15)+'Frame Capacities'!$BC$15),(AND((O28&gt;'Frame Capacities'!$BP$15),(O28&lt;='Frame Capacities'!$BQ$15))),((O28-'Frame Capacities'!$BP$15)*'Frame Capacities'!$BH$5*('Frame Capacities'!$BK$15)+'Frame Capacities'!$BD$15),(AND((O28&gt;'Frame Capacities'!$BQ$15),(O28&lt;='Frame Capacities'!$BR$15))),((O28-'Frame Capacities'!$BQ$15)*'Frame Capacities'!$BH$5*('Frame Capacities'!$BL$15)+'Frame Capacities'!$BE$15))</f>
        <v>48.263523243971207</v>
      </c>
      <c r="U28" s="431">
        <f>U27+T28*K28</f>
        <v>217.73364564740075</v>
      </c>
      <c r="V28" s="492"/>
      <c r="W28" s="47"/>
      <c r="X28" s="69">
        <v>5</v>
      </c>
      <c r="Y28" s="70">
        <f>'Structural Information'!$Z$7</f>
        <v>40.367000000000004</v>
      </c>
      <c r="Z28" s="70">
        <f t="shared" si="17"/>
        <v>0.33066485163605935</v>
      </c>
      <c r="AA28" s="70">
        <f t="shared" si="18"/>
        <v>4.8773065616318751</v>
      </c>
      <c r="AB28" s="68" t="s">
        <v>381</v>
      </c>
    </row>
    <row r="29" spans="2:28" x14ac:dyDescent="0.25">
      <c r="B29" s="74">
        <v>3</v>
      </c>
      <c r="C29" s="201">
        <f>'Frame Capacities'!BO17</f>
        <v>8.5822017391304368E-3</v>
      </c>
      <c r="D29" s="27">
        <f>'Infill Capacities'!CW17</f>
        <v>1.7915672005543457E-3</v>
      </c>
      <c r="E29" s="56">
        <f>'System Capacities'!Q9</f>
        <v>1.7915672005543457E-3</v>
      </c>
      <c r="F29" s="499">
        <f>'System Capacities'!N9</f>
        <v>154.19999999999999</v>
      </c>
      <c r="G29" s="26">
        <f>'System Capacities'!O9</f>
        <v>215.42400000000004</v>
      </c>
      <c r="H29" s="328">
        <f>'System Capacities'!P9</f>
        <v>247.61383551340651</v>
      </c>
      <c r="J29" s="489">
        <v>4</v>
      </c>
      <c r="K29" s="431">
        <f>'Structural Information'!$U$8</f>
        <v>3</v>
      </c>
      <c r="L29" s="431">
        <f>L30+K29</f>
        <v>11.75</v>
      </c>
      <c r="M29" s="490">
        <f>'Yield Mechanism'!$X$59</f>
        <v>7.0182758691864173E-3</v>
      </c>
      <c r="N29" s="491">
        <f>M29-M30</f>
        <v>1.5927336164272138E-3</v>
      </c>
      <c r="O29" s="491">
        <f t="shared" si="16"/>
        <v>5.3091120547573789E-4</v>
      </c>
      <c r="P29" s="490">
        <f>$C$28</f>
        <v>9.015519176800749E-3</v>
      </c>
      <c r="Q29" s="490">
        <f>$D$28</f>
        <v>1.852250472241956E-3</v>
      </c>
      <c r="R29" s="70">
        <f t="shared" si="19"/>
        <v>5.8888589227552093E-2</v>
      </c>
      <c r="S29" s="70">
        <f t="shared" si="20"/>
        <v>0.28663035233735168</v>
      </c>
      <c r="T29" s="431">
        <f>_xlfn.IFS((O29&lt;='Infill Capacities'!$CW$16),(O29*'Infill Capacities'!$CR$16*'Infill Capacities'!$CQ$6),(AND((O29&gt;'Infill Capacities'!$CW$16),(O29&lt;='Infill Capacities'!$CX$16))),((O29-'Infill Capacities'!$CW$16)*'Infill Capacities'!$CQ$6*('Infill Capacities'!$CS$16)+'Infill Capacities'!$CM$16),(AND((O29&gt;'Infill Capacities'!$CX$16),(O29&lt;='Infill Capacities'!$CY$16))),((O29-'Infill Capacities'!$CX$16)*'Infill Capacities'!$CQ$6*('Infill Capacities'!$CT$16)+'Infill Capacities'!$CN$16),(AND((O29&gt;'Infill Capacities'!$CY$16),(O29&lt;='Infill Capacities'!$CZ$16))),((O29-'Infill Capacities'!$CY$16)*'Infill Capacities'!$CQ$6*('Infill Capacities'!$CU$16)+'Infill Capacities'!$CP$16))+_xlfn.IFS((O29&lt;='Frame Capacities'!$BO$16),(O29*'Frame Capacities'!$BH$6*'Frame Capacities'!$BI$16),(AND((O29&gt;'Frame Capacities'!$BO$16),(O29&lt;='Frame Capacities'!$BP$16))),((O29-'Frame Capacities'!$BO$16)*'Frame Capacities'!$BH$6*('Frame Capacities'!$BJ$16)+'Frame Capacities'!$BC$16),(AND((O29&gt;'Frame Capacities'!$BP$16),(O29&lt;='Frame Capacities'!$BQ$16))),((O29-'Frame Capacities'!$BP$16)*'Frame Capacities'!$BH$6*('Frame Capacities'!$BK$16)+'Frame Capacities'!$BD$16),(AND((O29&gt;'Frame Capacities'!$BQ$16),(O29&lt;='Frame Capacities'!$BR$16))),((O29-'Frame Capacities'!$BQ$16)*'Frame Capacities'!$BH$6*('Frame Capacities'!$BL$16)+'Frame Capacities'!$BE$16))</f>
        <v>68.782667375673356</v>
      </c>
      <c r="U29" s="431">
        <f>U28+T29*K29</f>
        <v>424.08164777442084</v>
      </c>
      <c r="V29" s="493" t="s">
        <v>130</v>
      </c>
      <c r="W29" s="47"/>
      <c r="X29" s="69">
        <v>4</v>
      </c>
      <c r="Y29" s="70">
        <f>'Structural Information'!$Z$8</f>
        <v>40.367000000000004</v>
      </c>
      <c r="Z29" s="70">
        <f t="shared" si="17"/>
        <v>0.28330674201144812</v>
      </c>
      <c r="AA29" s="70">
        <f t="shared" si="18"/>
        <v>3.3288542186345156</v>
      </c>
      <c r="AB29" s="430">
        <f>T32/M27</f>
        <v>11273.100970936261</v>
      </c>
    </row>
    <row r="30" spans="2:28" x14ac:dyDescent="0.25">
      <c r="B30" s="74">
        <v>2</v>
      </c>
      <c r="C30" s="201">
        <f>'Frame Capacities'!BO18</f>
        <v>6.7523273096129852E-3</v>
      </c>
      <c r="D30" s="27">
        <f>'Infill Capacities'!CW18</f>
        <v>1.7342707198796904E-3</v>
      </c>
      <c r="E30" s="56">
        <f>'System Capacities'!Q10</f>
        <v>1.7342707198796904E-3</v>
      </c>
      <c r="F30" s="499">
        <f>'System Capacities'!N10</f>
        <v>162.6</v>
      </c>
      <c r="G30" s="26">
        <f>'System Capacities'!O10</f>
        <v>215.42400000000004</v>
      </c>
      <c r="H30" s="328">
        <f>'System Capacities'!P10</f>
        <v>257.18625560792617</v>
      </c>
      <c r="J30" s="489">
        <v>3</v>
      </c>
      <c r="K30" s="431">
        <f>'Structural Information'!$U$9</f>
        <v>3</v>
      </c>
      <c r="L30" s="431">
        <f>L31+K30</f>
        <v>8.75</v>
      </c>
      <c r="M30" s="490">
        <f>'Yield Mechanism'!$X$60</f>
        <v>5.4255422527592035E-3</v>
      </c>
      <c r="N30" s="71">
        <f>M30-M31</f>
        <v>1.83730679743837E-3</v>
      </c>
      <c r="O30" s="491">
        <f t="shared" si="16"/>
        <v>6.1243559914612338E-4</v>
      </c>
      <c r="P30" s="490">
        <f>$C$29</f>
        <v>8.5822017391304368E-3</v>
      </c>
      <c r="Q30" s="490">
        <f>$D$29</f>
        <v>1.7915672005543457E-3</v>
      </c>
      <c r="R30" s="431">
        <f t="shared" si="19"/>
        <v>7.1361128270118757E-2</v>
      </c>
      <c r="S30" s="70">
        <f>O30/Q30</f>
        <v>0.34184349822692889</v>
      </c>
      <c r="T30" s="431">
        <f>_xlfn.IFS((O30&lt;='Infill Capacities'!$CW$17),(O30*'Infill Capacities'!$CR$17*'Infill Capacities'!$CQ$7),(AND((O30&gt;'Infill Capacities'!$CW$17),(O30&lt;='Infill Capacities'!$CX$17))),((O30-'Infill Capacities'!$CW$17)*'Infill Capacities'!$CQ$7*('Infill Capacities'!$CS$17)+'Infill Capacities'!$CM$17),(AND((O30&gt;'Infill Capacities'!$CX$17),(O30&lt;='Infill Capacities'!$CY$17))),((O30-'Infill Capacities'!$CX$17)*'Infill Capacities'!$CQ$7*('Infill Capacities'!$CT$17)+'Infill Capacities'!$CN$17),(AND((O30&gt;'Infill Capacities'!$CY$17),(O30&lt;='Infill Capacities'!$CZ$17))),((O30-'Infill Capacities'!$CY$17)*'Infill Capacities'!$CQ$7*('Infill Capacities'!$CU$17)+'Infill Capacities'!$CP$17))+_xlfn.IFS((O30&lt;='Frame Capacities'!$BO$17),(O30*'Frame Capacities'!$BH$7*'Frame Capacities'!$BI$17),(AND((O30&gt;'Frame Capacities'!$BO$17),(O30&lt;='Frame Capacities'!$BP$17))),((O30-'Frame Capacities'!$BO$17)*'Frame Capacities'!$BH$7*('Frame Capacities'!$BJ$17)+'Frame Capacities'!$BC$17),(AND((O30&gt;'Frame Capacities'!$BP$17),(O30&lt;='Frame Capacities'!$BQ$17))),((O30-'Frame Capacities'!$BP$17)*'Frame Capacities'!$BH$7*('Frame Capacities'!$BK$17)+'Frame Capacities'!$BD$17),(AND((O30&gt;'Frame Capacities'!$BQ$17),(O30&lt;='Frame Capacities'!$BR$17))),((O30-'Frame Capacities'!$BQ$17)*'Frame Capacities'!$BH$7*('Frame Capacities'!$BL$17)+'Frame Capacities'!$BE$17))</f>
        <v>84.645179741290264</v>
      </c>
      <c r="U30" s="431">
        <f>U29+T30*K30</f>
        <v>678.01718699829166</v>
      </c>
      <c r="V30" s="494">
        <v>0</v>
      </c>
      <c r="W30" s="47"/>
      <c r="X30" s="69">
        <v>3</v>
      </c>
      <c r="Y30" s="70">
        <f>'Structural Information'!$Z$9</f>
        <v>40.367000000000004</v>
      </c>
      <c r="Z30" s="70">
        <f t="shared" si="17"/>
        <v>0.21901286411713081</v>
      </c>
      <c r="AA30" s="70">
        <f t="shared" si="18"/>
        <v>1.9163625610248947</v>
      </c>
      <c r="AB30" s="351" t="s">
        <v>383</v>
      </c>
    </row>
    <row r="31" spans="2:28" x14ac:dyDescent="0.25">
      <c r="B31" s="295">
        <v>1</v>
      </c>
      <c r="C31" s="215">
        <f>'Frame Capacities'!BO19</f>
        <v>5.3120868684138484E-3</v>
      </c>
      <c r="D31" s="133">
        <f>'Infill Capacities'!CW19</f>
        <v>1.7606502644787157E-3</v>
      </c>
      <c r="E31" s="266">
        <f>'System Capacities'!Q11</f>
        <v>1.7606502644787157E-3</v>
      </c>
      <c r="F31" s="500">
        <f>'System Capacities'!N11</f>
        <v>247.23636363636362</v>
      </c>
      <c r="G31" s="206">
        <f>'System Capacities'!O11</f>
        <v>209.08800000000008</v>
      </c>
      <c r="H31" s="341">
        <f>'System Capacities'!P11</f>
        <v>291.03258784426777</v>
      </c>
      <c r="J31" s="489">
        <v>2</v>
      </c>
      <c r="K31" s="431">
        <f>'Structural Information'!$U$10</f>
        <v>3</v>
      </c>
      <c r="L31" s="431">
        <f>L32+K31</f>
        <v>5.75</v>
      </c>
      <c r="M31" s="490">
        <f>'Yield Mechanism'!$X$61</f>
        <v>3.5882354553208335E-3</v>
      </c>
      <c r="N31" s="71">
        <f>M31-M32</f>
        <v>1.9245771380911512E-3</v>
      </c>
      <c r="O31" s="491">
        <f t="shared" si="16"/>
        <v>6.4152571269705035E-4</v>
      </c>
      <c r="P31" s="490">
        <f>$C$30</f>
        <v>6.7523273096129852E-3</v>
      </c>
      <c r="Q31" s="490">
        <f>$D$30</f>
        <v>1.7342707198796904E-3</v>
      </c>
      <c r="R31" s="70">
        <f>O31/P31</f>
        <v>9.5008088808689564E-2</v>
      </c>
      <c r="S31" s="70">
        <f t="shared" ref="S31:S32" si="21">O31/Q31</f>
        <v>0.36991094028362204</v>
      </c>
      <c r="T31" s="431">
        <f>_xlfn.IFS((O31&lt;='Infill Capacities'!$CW$18),(O31*'Infill Capacities'!$CR$18*'Infill Capacities'!$CQ$8),(AND((O31&gt;'Infill Capacities'!$CW$18),(O31&lt;='Infill Capacities'!$CX$18))),((O31-'Infill Capacities'!$CW$18)*'Infill Capacities'!$CQ$8*('Infill Capacities'!$CS$18)+'Infill Capacities'!$CM$18),(AND((O31&gt;'Infill Capacities'!$CX$18),(O31&lt;='Infill Capacities'!$CY$18))),((O31-'Infill Capacities'!$CX$18)*'Infill Capacities'!$CQ$8*('Infill Capacities'!$CT$18)+'Infill Capacities'!$CN$18),(AND((O31&gt;'Infill Capacities'!$CY$18),(O31&lt;='Infill Capacities'!$CZ$18))),((O31-'Infill Capacities'!$CY$18)*'Infill Capacities'!$CQ$8*('Infill Capacities'!$CU$18)+'Infill Capacities'!$CP$18))+_xlfn.IFS((O31&lt;='Frame Capacities'!$BO$18),(O31*'Frame Capacities'!$BH$8*'Frame Capacities'!$BI$18),(AND((O31&gt;'Frame Capacities'!$BO$18),(O31&lt;='Frame Capacities'!$BP$18))),((O31-'Frame Capacities'!$BO$18)*'Frame Capacities'!$BH$8*('Frame Capacities'!$BJ$18)+'Frame Capacities'!$BC$18),(AND((O31&gt;'Frame Capacities'!$BP$18),(O31&lt;='Frame Capacities'!$BQ$18))),((O31-'Frame Capacities'!$BP$18)*'Frame Capacities'!$BH$8*('Frame Capacities'!$BK$18)+'Frame Capacities'!$BD$18),(AND((O31&gt;'Frame Capacities'!$BQ$18),(O31&lt;='Frame Capacities'!$BR$18))),((O31-'Frame Capacities'!$BQ$18)*'Frame Capacities'!$BH$8*('Frame Capacities'!$BL$18)+'Frame Capacities'!$BE$18))</f>
        <v>95.136009639951936</v>
      </c>
      <c r="U31" s="431">
        <f>U30+T31*K31</f>
        <v>963.4252159181475</v>
      </c>
      <c r="V31" s="492"/>
      <c r="W31" s="47"/>
      <c r="X31" s="69">
        <v>2</v>
      </c>
      <c r="Y31" s="70">
        <f>'Structural Information'!$Z$10</f>
        <v>40.367000000000004</v>
      </c>
      <c r="Z31" s="70">
        <f t="shared" si="17"/>
        <v>0.14484630062493611</v>
      </c>
      <c r="AA31" s="70">
        <f t="shared" si="18"/>
        <v>0.83286622859338266</v>
      </c>
      <c r="AB31" s="70">
        <f>(('Structural Information'!$Z$6*M27+'Structural Information'!$Z$7*M28+'Structural Information'!$Z$8*M29+'Structural Information'!$Z$9*M30+'Structural Information'!$Z$10*M31+'Structural Information'!$Z$11*M32)^2)/('Structural Information'!$Z$6*M27*M27+'Structural Information'!$Z$7*M28*M28+'Structural Information'!$Z$8*M29*M29+'Structural Information'!$Z$9*M30*M30+'Structural Information'!$Z$10*M31*M31+'Structural Information'!$Z$11*M32*M32)</f>
        <v>200.77844728267124</v>
      </c>
    </row>
    <row r="32" spans="2:28" x14ac:dyDescent="0.25">
      <c r="J32" s="489">
        <v>1</v>
      </c>
      <c r="K32" s="431">
        <f>'Structural Information'!$U$11</f>
        <v>2.75</v>
      </c>
      <c r="L32" s="431">
        <f>K32</f>
        <v>2.75</v>
      </c>
      <c r="M32" s="490">
        <f>'Yield Mechanism'!$X$62</f>
        <v>1.6636583172296823E-3</v>
      </c>
      <c r="N32" s="71">
        <f>M32</f>
        <v>1.6636583172296823E-3</v>
      </c>
      <c r="O32" s="491">
        <f t="shared" si="16"/>
        <v>6.0496666081079353E-4</v>
      </c>
      <c r="P32" s="490">
        <f>$C$31</f>
        <v>5.3120868684138484E-3</v>
      </c>
      <c r="Q32" s="490">
        <f>$D$31</f>
        <v>1.7606502644787157E-3</v>
      </c>
      <c r="R32" s="70">
        <f t="shared" ref="R32" si="22">O32/P32</f>
        <v>0.11388493369865246</v>
      </c>
      <c r="S32" s="70">
        <f t="shared" si="21"/>
        <v>0.34360410640094324</v>
      </c>
      <c r="T32" s="431">
        <f>_xlfn.IFS((O32&lt;='Infill Capacities'!$CW$19),(O32*'Infill Capacities'!$CR$19*'Infill Capacities'!$CQ$9),(AND((O32&gt;'Infill Capacities'!$CW$19),(O32&lt;='Infill Capacities'!$CX$19))),((O32-'Infill Capacities'!$CW$19)*'Infill Capacities'!$CQ$9*('Infill Capacities'!$CS$19)+'Infill Capacities'!$CM$19),(AND((O32&gt;'Infill Capacities'!$CX$19),(O32&lt;='Infill Capacities'!$CY$19))),((O32-'Infill Capacities'!$CX$19)*'Infill Capacities'!$CQ$9*('Infill Capacities'!$CT$19)+'Infill Capacities'!$CN$19),(AND((O32&gt;'Infill Capacities'!$CY$19),(O32&lt;='Infill Capacities'!$CZ$19))),((O32-'Infill Capacities'!$CY$19)*'Infill Capacities'!$CQ$9*('Infill Capacities'!$CU$19)+'Infill Capacities'!$CP$19))+_xlfn.IFS((O32&lt;='Frame Capacities'!$BO$19),(O32*'Frame Capacities'!$BH$9*'Frame Capacities'!$BI$19),(AND((O32&gt;'Frame Capacities'!$BO$19),(O32&lt;='Frame Capacities'!$BP$19))),((O32-'Frame Capacities'!$BO$19)*'Frame Capacities'!$BH$9*('Frame Capacities'!$BJ$19)+'Frame Capacities'!$BC$19),(AND((O32&gt;'Frame Capacities'!$BP$19),(O32&lt;='Frame Capacities'!$BQ$19))),((O32-'Frame Capacities'!$BP$19)*'Frame Capacities'!$BH$9*('Frame Capacities'!$BK$19)+'Frame Capacities'!$BD$19),(AND((O32&gt;'Frame Capacities'!$BQ$19),(O32&lt;='Frame Capacities'!$BR$19))),((O32-'Frame Capacities'!$BQ$19)*'Frame Capacities'!$BH$9*('Frame Capacities'!$BL$19)+'Frame Capacities'!$BE$19))</f>
        <v>99.99999227978364</v>
      </c>
      <c r="U32" s="431">
        <f>U31+T32*K32</f>
        <v>1238.4251946875524</v>
      </c>
      <c r="V32" s="495"/>
      <c r="W32" s="47"/>
      <c r="X32" s="69">
        <v>1</v>
      </c>
      <c r="Y32" s="70">
        <f>'Structural Information'!$Z$11</f>
        <v>40.367000000000004</v>
      </c>
      <c r="Z32" s="70">
        <f t="shared" si="17"/>
        <v>6.7156895291610591E-2</v>
      </c>
      <c r="AA32" s="70">
        <f t="shared" si="18"/>
        <v>0.18468146205192912</v>
      </c>
      <c r="AB32" s="68" t="s">
        <v>382</v>
      </c>
    </row>
    <row r="33" spans="2:28" x14ac:dyDescent="0.25">
      <c r="X33" s="496"/>
      <c r="Y33" s="68" t="s">
        <v>95</v>
      </c>
      <c r="Z33" s="497">
        <f>SUM(Z27:Z32)</f>
        <v>1.3806947246626657</v>
      </c>
      <c r="AA33" s="497">
        <f>SUM(AA27:AA32)</f>
        <v>17.098871541857882</v>
      </c>
      <c r="AB33" s="430">
        <f>2*PI()*SQRT(AB31/AB29)</f>
        <v>0.83852635202767545</v>
      </c>
    </row>
    <row r="35" spans="2:28" ht="15.75" customHeight="1" x14ac:dyDescent="0.25">
      <c r="B35" s="775" t="s">
        <v>244</v>
      </c>
      <c r="C35" s="775"/>
      <c r="D35" s="775"/>
      <c r="E35" s="842" t="s">
        <v>242</v>
      </c>
      <c r="F35" s="842"/>
      <c r="G35" s="842"/>
      <c r="H35" s="478"/>
      <c r="J35" s="925" t="s">
        <v>127</v>
      </c>
      <c r="K35" s="925"/>
      <c r="L35" s="925"/>
      <c r="M35" s="925"/>
      <c r="N35" s="925"/>
      <c r="O35" s="925"/>
      <c r="P35" s="925"/>
      <c r="Q35" s="925"/>
      <c r="R35" s="925"/>
      <c r="S35" s="925"/>
      <c r="T35" s="925"/>
      <c r="U35" s="925"/>
      <c r="V35" s="925"/>
      <c r="X35" s="926" t="s">
        <v>124</v>
      </c>
      <c r="Y35" s="926"/>
      <c r="Z35" s="926"/>
      <c r="AA35" s="926"/>
      <c r="AB35" s="926"/>
    </row>
    <row r="36" spans="2:28" ht="15" customHeight="1" x14ac:dyDescent="0.25">
      <c r="B36" s="68" t="s">
        <v>131</v>
      </c>
      <c r="C36" s="501" t="s">
        <v>96</v>
      </c>
      <c r="D36" s="68" t="s">
        <v>132</v>
      </c>
      <c r="E36" s="502" t="s">
        <v>243</v>
      </c>
      <c r="F36" s="502" t="s">
        <v>425</v>
      </c>
      <c r="G36" s="68" t="s">
        <v>245</v>
      </c>
      <c r="H36" s="16"/>
      <c r="J36" s="590" t="s">
        <v>9</v>
      </c>
      <c r="K36" s="588" t="s">
        <v>3</v>
      </c>
      <c r="L36" s="588" t="s">
        <v>89</v>
      </c>
      <c r="M36" s="590" t="s">
        <v>91</v>
      </c>
      <c r="N36" s="590" t="s">
        <v>98</v>
      </c>
      <c r="O36" s="588" t="s">
        <v>119</v>
      </c>
      <c r="P36" s="588" t="s">
        <v>286</v>
      </c>
      <c r="Q36" s="588" t="s">
        <v>287</v>
      </c>
      <c r="R36" s="590" t="s">
        <v>457</v>
      </c>
      <c r="S36" s="590" t="s">
        <v>458</v>
      </c>
      <c r="T36" s="590" t="s">
        <v>92</v>
      </c>
      <c r="U36" s="588" t="s">
        <v>120</v>
      </c>
      <c r="V36" s="590" t="s">
        <v>96</v>
      </c>
      <c r="X36" s="590" t="s">
        <v>9</v>
      </c>
      <c r="Y36" s="924" t="s">
        <v>93</v>
      </c>
      <c r="Z36" s="924" t="s">
        <v>94</v>
      </c>
      <c r="AA36" s="924" t="s">
        <v>122</v>
      </c>
      <c r="AB36" s="588" t="s">
        <v>123</v>
      </c>
    </row>
    <row r="37" spans="2:28" x14ac:dyDescent="0.25">
      <c r="B37" s="503">
        <v>0</v>
      </c>
      <c r="C37" s="27">
        <v>0</v>
      </c>
      <c r="D37" s="504">
        <v>0</v>
      </c>
      <c r="E37" s="20" t="s">
        <v>241</v>
      </c>
      <c r="F37" s="505">
        <v>14540.612544395273</v>
      </c>
      <c r="G37" s="328" t="s">
        <v>241</v>
      </c>
      <c r="H37" s="19"/>
      <c r="J37" s="590"/>
      <c r="K37" s="588"/>
      <c r="L37" s="588"/>
      <c r="M37" s="590"/>
      <c r="N37" s="590"/>
      <c r="O37" s="588"/>
      <c r="P37" s="588"/>
      <c r="Q37" s="588"/>
      <c r="R37" s="590"/>
      <c r="S37" s="590"/>
      <c r="T37" s="590"/>
      <c r="U37" s="588"/>
      <c r="V37" s="590"/>
      <c r="X37" s="590"/>
      <c r="Y37" s="924"/>
      <c r="Z37" s="924"/>
      <c r="AA37" s="924"/>
      <c r="AB37" s="588"/>
    </row>
    <row r="38" spans="2:28" x14ac:dyDescent="0.25">
      <c r="B38" s="503">
        <v>1</v>
      </c>
      <c r="C38" s="19">
        <f>V5*-1</f>
        <v>-99.999998772354672</v>
      </c>
      <c r="D38" s="506">
        <f>M5</f>
        <v>8.8706729885236167E-3</v>
      </c>
      <c r="E38" s="20">
        <f>((C38-C37)/(D38-D37))*-1</f>
        <v>11273.101702850405</v>
      </c>
      <c r="F38" s="505">
        <v>10115.68412492559</v>
      </c>
      <c r="G38" s="328">
        <f>((F38-E38)/F38)*100</f>
        <v>-11.441812176329973</v>
      </c>
      <c r="H38" s="19"/>
      <c r="J38" s="489">
        <v>6</v>
      </c>
      <c r="K38" s="431">
        <f>'Structural Information'!$U$6</f>
        <v>3</v>
      </c>
      <c r="L38" s="431">
        <f>L39+K38</f>
        <v>17.75</v>
      </c>
      <c r="M38" s="490">
        <f>'Yield Mechanism'!$X$57</f>
        <v>8.8706729885236167E-3</v>
      </c>
      <c r="N38" s="71">
        <f>M38-M39</f>
        <v>6.7920838535619546E-4</v>
      </c>
      <c r="O38" s="491">
        <f t="shared" ref="O38:O43" si="23">N38/K38</f>
        <v>2.2640279511873182E-4</v>
      </c>
      <c r="P38" s="490">
        <f>$C$26</f>
        <v>8.3119145368492249E-3</v>
      </c>
      <c r="Q38" s="490">
        <f>$D$26</f>
        <v>2.2387978504494433E-3</v>
      </c>
      <c r="R38" s="70">
        <f>O38/P38</f>
        <v>2.7238344922222182E-2</v>
      </c>
      <c r="S38" s="70">
        <f>O38/Q38</f>
        <v>0.10112694858684136</v>
      </c>
      <c r="T38" s="431">
        <f>_xlfn.IFS((O38&lt;='Infill Capacities'!$CW$14),(O38*'Infill Capacities'!$CR$14*'Infill Capacities'!$CQ$4),(AND((O38&gt;'Infill Capacities'!$CW$14),(O38&lt;='Infill Capacities'!$CX$14))),((O38-'Infill Capacities'!$CW$14)*'Infill Capacities'!$CQ$4*('Infill Capacities'!$CS$14)+'Infill Capacities'!$CM$14),(AND((O38&gt;'Infill Capacities'!$CX$14),(O38&lt;='Infill Capacities'!$CY$14))),((O38-'Infill Capacities'!$CX$14)*'Infill Capacities'!$CQ$4*('Infill Capacities'!$CT$14)+'Infill Capacities'!$CN$14),(AND((O38&gt;'Infill Capacities'!$CY$14),(O38&lt;='Infill Capacities'!$CZ$14))),((O38-'Infill Capacities'!$CY$14)*'Infill Capacities'!$CQ$4*('Infill Capacities'!$CU$14)+'Infill Capacities'!$CP$14))+_xlfn.IFS((O38&lt;='Frame Capacities'!$BO$14),(O38*'Frame Capacities'!$BH$4*'Frame Capacities'!$BI$14),(AND((O38&gt;'Frame Capacities'!$BO$14),(O38&lt;='Frame Capacities'!$BP$14))),((O38-'Frame Capacities'!$BO$14)*'Frame Capacities'!$BH$4*('Frame Capacities'!$BJ$14)+'Frame Capacities'!$BC$14),(AND((O38&gt;'Frame Capacities'!$BP$14),(O38&lt;='Frame Capacities'!$BQ$14))),((O38-'Frame Capacities'!$BP$14)*'Frame Capacities'!$BH$4*('Frame Capacities'!$BK$14)+'Frame Capacities'!$BD$14),(AND((O38&gt;'Frame Capacities'!$BQ$14),(O38&lt;='Frame Capacities'!$BR$14))),((O38-'Frame Capacities'!$BQ$14)*'Frame Capacities'!$BH$4*('Frame Capacities'!$BL$14)+'Frame Capacities'!$BE$14))</f>
        <v>24.314358638495708</v>
      </c>
      <c r="U38" s="431">
        <f>K38*T38</f>
        <v>72.943075915487128</v>
      </c>
      <c r="V38" s="70">
        <f>U43/AB38</f>
        <v>99.999998772354672</v>
      </c>
      <c r="X38" s="69">
        <v>6</v>
      </c>
      <c r="Y38" s="70">
        <f>'Structural Information'!$Z$6</f>
        <v>37.8446</v>
      </c>
      <c r="Z38" s="70">
        <f t="shared" ref="Z38:Z43" si="24">Y38*M38</f>
        <v>0.33570707098148084</v>
      </c>
      <c r="AA38" s="70">
        <f t="shared" ref="AA38:AA43" si="25">Z38*L38</f>
        <v>5.9588005099212848</v>
      </c>
      <c r="AB38" s="70">
        <f>AA44/Z44</f>
        <v>12.384252098910217</v>
      </c>
    </row>
    <row r="39" spans="2:28" x14ac:dyDescent="0.25">
      <c r="B39" s="503">
        <v>2</v>
      </c>
      <c r="C39" s="26">
        <f>V16*-1</f>
        <v>-99.999998772354672</v>
      </c>
      <c r="D39" s="504">
        <f>M16</f>
        <v>8.8706729885236167E-3</v>
      </c>
      <c r="E39" s="20" t="e">
        <f>((C39-C38)/(D39-D38))*-1</f>
        <v>#DIV/0!</v>
      </c>
      <c r="G39" s="507"/>
      <c r="H39" s="19"/>
      <c r="J39" s="489">
        <v>5</v>
      </c>
      <c r="K39" s="431">
        <f>'Structural Information'!$U$7</f>
        <v>3</v>
      </c>
      <c r="L39" s="431">
        <f>L40+K39</f>
        <v>14.75</v>
      </c>
      <c r="M39" s="490">
        <f>'Yield Mechanism'!$X$58</f>
        <v>8.1914646031674213E-3</v>
      </c>
      <c r="N39" s="71">
        <f>M39-M40</f>
        <v>1.1731887339810039E-3</v>
      </c>
      <c r="O39" s="491">
        <f t="shared" si="23"/>
        <v>3.9106291132700129E-4</v>
      </c>
      <c r="P39" s="490">
        <f>$C$27</f>
        <v>9.597600000000003E-3</v>
      </c>
      <c r="Q39" s="490">
        <f>$D$27</f>
        <v>1.92360761471166E-3</v>
      </c>
      <c r="R39" s="70">
        <f t="shared" ref="R39:R41" si="26">O39/P39</f>
        <v>4.0745906406497577E-2</v>
      </c>
      <c r="S39" s="70">
        <f t="shared" ref="S39:S40" si="27">O39/Q39</f>
        <v>0.20329661222807119</v>
      </c>
      <c r="T39" s="431">
        <f>_xlfn.IFS((O39&lt;='Infill Capacities'!$CW$15),(O39*'Infill Capacities'!$CR$15*'Infill Capacities'!$CQ$5),(AND((O39&gt;'Infill Capacities'!$CW$15),(O39&lt;='Infill Capacities'!$CX$15))),((O39-'Infill Capacities'!$CW$15)*'Infill Capacities'!$CQ$5*('Infill Capacities'!$CS$15)+'Infill Capacities'!$CM$15),(AND((O39&gt;'Infill Capacities'!$CX$15),(O39&lt;='Infill Capacities'!$CY$15))),((O39-'Infill Capacities'!$CX$15)*'Infill Capacities'!$CQ$5*('Infill Capacities'!$CT$15)+'Infill Capacities'!$CN$15),(AND((O39&gt;'Infill Capacities'!$CY$15),(O39&lt;='Infill Capacities'!$CZ$15))),((O39-'Infill Capacities'!$CY$15)*'Infill Capacities'!$CQ$5*('Infill Capacities'!$CU$15)+'Infill Capacities'!$CP$15))+_xlfn.IFS((O39&lt;='Frame Capacities'!$BO$15),(O39*'Frame Capacities'!$BH$5*'Frame Capacities'!$BI$15),(AND((O39&gt;'Frame Capacities'!$BO$15),(O39&lt;='Frame Capacities'!$BP$15))),((O39-'Frame Capacities'!$BO$15)*'Frame Capacities'!$BH$5*('Frame Capacities'!$BJ$15)+'Frame Capacities'!$BC$15),(AND((O39&gt;'Frame Capacities'!$BP$15),(O39&lt;='Frame Capacities'!$BQ$15))),((O39-'Frame Capacities'!$BP$15)*'Frame Capacities'!$BH$5*('Frame Capacities'!$BK$15)+'Frame Capacities'!$BD$15),(AND((O39&gt;'Frame Capacities'!$BQ$15),(O39&lt;='Frame Capacities'!$BR$15))),((O39-'Frame Capacities'!$BQ$15)*'Frame Capacities'!$BH$5*('Frame Capacities'!$BL$15)+'Frame Capacities'!$BE$15))</f>
        <v>48.263523243971207</v>
      </c>
      <c r="U39" s="431">
        <f>U38+T39*K39</f>
        <v>217.73364564740075</v>
      </c>
      <c r="V39" s="492"/>
      <c r="X39" s="69">
        <v>5</v>
      </c>
      <c r="Y39" s="70">
        <f>'Structural Information'!$Z$7</f>
        <v>40.367000000000004</v>
      </c>
      <c r="Z39" s="70">
        <f t="shared" si="24"/>
        <v>0.33066485163605935</v>
      </c>
      <c r="AA39" s="70">
        <f t="shared" si="25"/>
        <v>4.8773065616318751</v>
      </c>
      <c r="AB39" s="68" t="s">
        <v>381</v>
      </c>
    </row>
    <row r="40" spans="2:28" x14ac:dyDescent="0.25">
      <c r="B40" s="503">
        <v>3</v>
      </c>
      <c r="C40" s="19">
        <f>V27*-1</f>
        <v>-99.999998772354672</v>
      </c>
      <c r="D40" s="506">
        <f>M27</f>
        <v>8.8706729885236167E-3</v>
      </c>
      <c r="E40" s="20" t="e">
        <f>((C40-C39)/(D40-D39))*-1</f>
        <v>#DIV/0!</v>
      </c>
      <c r="F40" s="19"/>
      <c r="G40" s="328"/>
      <c r="H40" s="19"/>
      <c r="J40" s="489">
        <v>4</v>
      </c>
      <c r="K40" s="431">
        <f>'Structural Information'!$U$8</f>
        <v>3</v>
      </c>
      <c r="L40" s="431">
        <f>L41+K40</f>
        <v>11.75</v>
      </c>
      <c r="M40" s="490">
        <f>'Yield Mechanism'!$X$59</f>
        <v>7.0182758691864173E-3</v>
      </c>
      <c r="N40" s="491">
        <f>M40-M41</f>
        <v>1.5927336164272138E-3</v>
      </c>
      <c r="O40" s="491">
        <f t="shared" si="23"/>
        <v>5.3091120547573789E-4</v>
      </c>
      <c r="P40" s="490">
        <f>$C$28</f>
        <v>9.015519176800749E-3</v>
      </c>
      <c r="Q40" s="490">
        <f>$D$28</f>
        <v>1.852250472241956E-3</v>
      </c>
      <c r="R40" s="70">
        <f t="shared" si="26"/>
        <v>5.8888589227552093E-2</v>
      </c>
      <c r="S40" s="70">
        <f t="shared" si="27"/>
        <v>0.28663035233735168</v>
      </c>
      <c r="T40" s="431">
        <f>_xlfn.IFS((O40&lt;='Infill Capacities'!$CW$16),(O40*'Infill Capacities'!$CR$16*'Infill Capacities'!$CQ$6),(AND((O40&gt;'Infill Capacities'!$CW$16),(O40&lt;='Infill Capacities'!$CX$16))),((O40-'Infill Capacities'!$CW$16)*'Infill Capacities'!$CQ$6*('Infill Capacities'!$CS$16)+'Infill Capacities'!$CM$16),(AND((O40&gt;'Infill Capacities'!$CX$16),(O40&lt;='Infill Capacities'!$CY$16))),((O40-'Infill Capacities'!$CX$16)*'Infill Capacities'!$CQ$6*('Infill Capacities'!$CT$16)+'Infill Capacities'!$CN$16),(AND((O40&gt;'Infill Capacities'!$CY$16),(O40&lt;='Infill Capacities'!$CZ$16))),((O40-'Infill Capacities'!$CY$16)*'Infill Capacities'!$CQ$6*('Infill Capacities'!$CU$16)+'Infill Capacities'!$CP$16))+_xlfn.IFS((O40&lt;='Frame Capacities'!$BO$16),(O40*'Frame Capacities'!$BH$6*'Frame Capacities'!$BI$16),(AND((O40&gt;'Frame Capacities'!$BO$16),(O40&lt;='Frame Capacities'!$BP$16))),((O40-'Frame Capacities'!$BO$16)*'Frame Capacities'!$BH$6*('Frame Capacities'!$BJ$16)+'Frame Capacities'!$BC$16),(AND((O40&gt;'Frame Capacities'!$BP$16),(O40&lt;='Frame Capacities'!$BQ$16))),((O40-'Frame Capacities'!$BP$16)*'Frame Capacities'!$BH$6*('Frame Capacities'!$BK$16)+'Frame Capacities'!$BD$16),(AND((O40&gt;'Frame Capacities'!$BQ$16),(O40&lt;='Frame Capacities'!$BR$16))),((O40-'Frame Capacities'!$BQ$16)*'Frame Capacities'!$BH$6*('Frame Capacities'!$BL$16)+'Frame Capacities'!$BE$16))</f>
        <v>68.782667375673356</v>
      </c>
      <c r="U40" s="431">
        <f>U39+T40*K40</f>
        <v>424.08164777442084</v>
      </c>
      <c r="V40" s="493" t="s">
        <v>130</v>
      </c>
      <c r="X40" s="69">
        <v>4</v>
      </c>
      <c r="Y40" s="70">
        <f>'Structural Information'!$Z$8</f>
        <v>40.367000000000004</v>
      </c>
      <c r="Z40" s="70">
        <f t="shared" si="24"/>
        <v>0.28330674201144812</v>
      </c>
      <c r="AA40" s="70">
        <f t="shared" si="25"/>
        <v>3.3288542186345156</v>
      </c>
      <c r="AB40" s="430">
        <f>T43/M38</f>
        <v>11273.100970936261</v>
      </c>
    </row>
    <row r="41" spans="2:28" x14ac:dyDescent="0.25">
      <c r="B41" s="503">
        <v>4</v>
      </c>
      <c r="C41" s="19">
        <f>V38*-1</f>
        <v>-99.999998772354672</v>
      </c>
      <c r="D41" s="506">
        <f>M38</f>
        <v>8.8706729885236167E-3</v>
      </c>
      <c r="E41" s="930" t="e">
        <f>((C42-C40)/(D42-D40))*-1</f>
        <v>#DIV/0!</v>
      </c>
      <c r="F41" s="931">
        <v>3156.8759663787373</v>
      </c>
      <c r="G41" s="932" t="e">
        <f>((#REF!-E41)/#REF!)*100</f>
        <v>#REF!</v>
      </c>
      <c r="J41" s="489">
        <v>3</v>
      </c>
      <c r="K41" s="431">
        <f>'Structural Information'!$U$9</f>
        <v>3</v>
      </c>
      <c r="L41" s="431">
        <f>L42+K41</f>
        <v>8.75</v>
      </c>
      <c r="M41" s="490">
        <f>'Yield Mechanism'!$X$60</f>
        <v>5.4255422527592035E-3</v>
      </c>
      <c r="N41" s="71">
        <f>M41-M42</f>
        <v>1.83730679743837E-3</v>
      </c>
      <c r="O41" s="491">
        <f t="shared" si="23"/>
        <v>6.1243559914612338E-4</v>
      </c>
      <c r="P41" s="490">
        <f>$C$29</f>
        <v>8.5822017391304368E-3</v>
      </c>
      <c r="Q41" s="490">
        <f>$D$29</f>
        <v>1.7915672005543457E-3</v>
      </c>
      <c r="R41" s="431">
        <f t="shared" si="26"/>
        <v>7.1361128270118757E-2</v>
      </c>
      <c r="S41" s="70">
        <f>O41/Q41</f>
        <v>0.34184349822692889</v>
      </c>
      <c r="T41" s="431">
        <f>_xlfn.IFS((O41&lt;='Infill Capacities'!$CW$17),(O41*'Infill Capacities'!$CR$17*'Infill Capacities'!$CQ$7),(AND((O41&gt;'Infill Capacities'!$CW$17),(O41&lt;='Infill Capacities'!$CX$17))),((O41-'Infill Capacities'!$CW$17)*'Infill Capacities'!$CQ$7*('Infill Capacities'!$CS$17)+'Infill Capacities'!$CM$17),(AND((O41&gt;'Infill Capacities'!$CX$17),(O41&lt;='Infill Capacities'!$CY$17))),((O41-'Infill Capacities'!$CX$17)*'Infill Capacities'!$CQ$7*('Infill Capacities'!$CT$17)+'Infill Capacities'!$CN$17),(AND((O41&gt;'Infill Capacities'!$CY$17),(O41&lt;='Infill Capacities'!$CZ$17))),((O41-'Infill Capacities'!$CY$17)*'Infill Capacities'!$CQ$7*('Infill Capacities'!$CU$17)+'Infill Capacities'!$CP$17))+_xlfn.IFS((O41&lt;='Frame Capacities'!$BO$17),(O41*'Frame Capacities'!$BH$7*'Frame Capacities'!$BI$17),(AND((O41&gt;'Frame Capacities'!$BO$17),(O41&lt;='Frame Capacities'!$BP$17))),((O41-'Frame Capacities'!$BO$17)*'Frame Capacities'!$BH$7*('Frame Capacities'!$BJ$17)+'Frame Capacities'!$BC$17),(AND((O41&gt;'Frame Capacities'!$BP$17),(O41&lt;='Frame Capacities'!$BQ$17))),((O41-'Frame Capacities'!$BP$17)*'Frame Capacities'!$BH$7*('Frame Capacities'!$BK$17)+'Frame Capacities'!$BD$17),(AND((O41&gt;'Frame Capacities'!$BQ$17),(O41&lt;='Frame Capacities'!$BR$17))),((O41-'Frame Capacities'!$BQ$17)*'Frame Capacities'!$BH$7*('Frame Capacities'!$BL$17)+'Frame Capacities'!$BE$17))</f>
        <v>84.645179741290264</v>
      </c>
      <c r="U41" s="431">
        <f>U40+T41*K41</f>
        <v>678.01718699829166</v>
      </c>
      <c r="V41" s="494">
        <v>0</v>
      </c>
      <c r="X41" s="69">
        <v>3</v>
      </c>
      <c r="Y41" s="70">
        <f>'Structural Information'!$Z$9</f>
        <v>40.367000000000004</v>
      </c>
      <c r="Z41" s="70">
        <f t="shared" si="24"/>
        <v>0.21901286411713081</v>
      </c>
      <c r="AA41" s="70">
        <f t="shared" si="25"/>
        <v>1.9163625610248947</v>
      </c>
      <c r="AB41" s="351" t="s">
        <v>383</v>
      </c>
    </row>
    <row r="42" spans="2:28" x14ac:dyDescent="0.25">
      <c r="B42" s="503">
        <v>5</v>
      </c>
      <c r="C42" s="19">
        <f>V49*-1</f>
        <v>-99.999998772354672</v>
      </c>
      <c r="D42" s="506">
        <f>M49</f>
        <v>8.8706729885236167E-3</v>
      </c>
      <c r="E42" s="930"/>
      <c r="F42" s="931"/>
      <c r="G42" s="932"/>
      <c r="H42" s="19"/>
      <c r="J42" s="489">
        <v>2</v>
      </c>
      <c r="K42" s="431">
        <f>'Structural Information'!$U$10</f>
        <v>3</v>
      </c>
      <c r="L42" s="431">
        <f>L43+K42</f>
        <v>5.75</v>
      </c>
      <c r="M42" s="490">
        <f>'Yield Mechanism'!$X$61</f>
        <v>3.5882354553208335E-3</v>
      </c>
      <c r="N42" s="71">
        <f>M42-M43</f>
        <v>1.9245771380911512E-3</v>
      </c>
      <c r="O42" s="491">
        <f t="shared" si="23"/>
        <v>6.4152571269705035E-4</v>
      </c>
      <c r="P42" s="490">
        <f>$C$30</f>
        <v>6.7523273096129852E-3</v>
      </c>
      <c r="Q42" s="490">
        <f>$D$30</f>
        <v>1.7342707198796904E-3</v>
      </c>
      <c r="R42" s="70">
        <f>O42/P42</f>
        <v>9.5008088808689564E-2</v>
      </c>
      <c r="S42" s="70">
        <f t="shared" ref="S42:S43" si="28">O42/Q42</f>
        <v>0.36991094028362204</v>
      </c>
      <c r="T42" s="431">
        <f>_xlfn.IFS((O42&lt;='Infill Capacities'!$CW$18),(O42*'Infill Capacities'!$CR$18*'Infill Capacities'!$CQ$8),(AND((O42&gt;'Infill Capacities'!$CW$18),(O42&lt;='Infill Capacities'!$CX$18))),((O42-'Infill Capacities'!$CW$18)*'Infill Capacities'!$CQ$8*('Infill Capacities'!$CS$18)+'Infill Capacities'!$CM$18),(AND((O42&gt;'Infill Capacities'!$CX$18),(O42&lt;='Infill Capacities'!$CY$18))),((O42-'Infill Capacities'!$CX$18)*'Infill Capacities'!$CQ$8*('Infill Capacities'!$CT$18)+'Infill Capacities'!$CN$18),(AND((O42&gt;'Infill Capacities'!$CY$18),(O42&lt;='Infill Capacities'!$CZ$18))),((O42-'Infill Capacities'!$CY$18)*'Infill Capacities'!$CQ$8*('Infill Capacities'!$CU$18)+'Infill Capacities'!$CP$18))+_xlfn.IFS((O42&lt;='Frame Capacities'!$BO$18),(O42*'Frame Capacities'!$BH$8*'Frame Capacities'!$BI$18),(AND((O42&gt;'Frame Capacities'!$BO$18),(O42&lt;='Frame Capacities'!$BP$18))),((O42-'Frame Capacities'!$BO$18)*'Frame Capacities'!$BH$8*('Frame Capacities'!$BJ$18)+'Frame Capacities'!$BC$18),(AND((O42&gt;'Frame Capacities'!$BP$18),(O42&lt;='Frame Capacities'!$BQ$18))),((O42-'Frame Capacities'!$BP$18)*'Frame Capacities'!$BH$8*('Frame Capacities'!$BK$18)+'Frame Capacities'!$BD$18),(AND((O42&gt;'Frame Capacities'!$BQ$18),(O42&lt;='Frame Capacities'!$BR$18))),((O42-'Frame Capacities'!$BQ$18)*'Frame Capacities'!$BH$8*('Frame Capacities'!$BL$18)+'Frame Capacities'!$BE$18))</f>
        <v>95.136009639951936</v>
      </c>
      <c r="U42" s="431">
        <f>U41+T42*K42</f>
        <v>963.4252159181475</v>
      </c>
      <c r="V42" s="492"/>
      <c r="X42" s="69">
        <v>2</v>
      </c>
      <c r="Y42" s="70">
        <f>'Structural Information'!$Z$10</f>
        <v>40.367000000000004</v>
      </c>
      <c r="Z42" s="70">
        <f t="shared" si="24"/>
        <v>0.14484630062493611</v>
      </c>
      <c r="AA42" s="70">
        <f t="shared" si="25"/>
        <v>0.83286622859338266</v>
      </c>
      <c r="AB42" s="70">
        <f>(('Structural Information'!$Z$6*M38+'Structural Information'!$Z$7*M39+'Structural Information'!$Z$8*M40+'Structural Information'!$Z$9*M41+'Structural Information'!$Z$10*M42+'Structural Information'!$Z$11*M43)^2)/('Structural Information'!$Z$6*M38*M38+'Structural Information'!$Z$7*M39*M39+'Structural Information'!$Z$8*M40*M40+'Structural Information'!$Z$9*M41*M41+'Structural Information'!$Z$10*M42*M42+'Structural Information'!$Z$11*M43*M43)</f>
        <v>200.77844728267124</v>
      </c>
    </row>
    <row r="43" spans="2:28" x14ac:dyDescent="0.25">
      <c r="B43" s="503">
        <v>6</v>
      </c>
      <c r="C43" s="19">
        <f>V60*-1</f>
        <v>-99.999998772354672</v>
      </c>
      <c r="D43" s="506">
        <f>M60</f>
        <v>8.8706729885236167E-3</v>
      </c>
      <c r="E43" s="20" t="e">
        <f>((C43-C42)/(D43-D42))*-1</f>
        <v>#DIV/0!</v>
      </c>
      <c r="F43" s="19"/>
      <c r="G43" s="328"/>
      <c r="H43" s="19"/>
      <c r="J43" s="489">
        <v>1</v>
      </c>
      <c r="K43" s="431">
        <f>'Structural Information'!$U$11</f>
        <v>2.75</v>
      </c>
      <c r="L43" s="431">
        <f>K43</f>
        <v>2.75</v>
      </c>
      <c r="M43" s="490">
        <f>'Yield Mechanism'!$X$62</f>
        <v>1.6636583172296823E-3</v>
      </c>
      <c r="N43" s="71">
        <f>M43</f>
        <v>1.6636583172296823E-3</v>
      </c>
      <c r="O43" s="491">
        <f t="shared" si="23"/>
        <v>6.0496666081079353E-4</v>
      </c>
      <c r="P43" s="490">
        <f>$C$31</f>
        <v>5.3120868684138484E-3</v>
      </c>
      <c r="Q43" s="490">
        <f>$D$31</f>
        <v>1.7606502644787157E-3</v>
      </c>
      <c r="R43" s="70">
        <f t="shared" ref="R43" si="29">O43/P43</f>
        <v>0.11388493369865246</v>
      </c>
      <c r="S43" s="70">
        <f t="shared" si="28"/>
        <v>0.34360410640094324</v>
      </c>
      <c r="T43" s="431">
        <f>_xlfn.IFS((O43&lt;='Infill Capacities'!$CW$19),(O43*'Infill Capacities'!$CR$19*'Infill Capacities'!$CQ$9),(AND((O43&gt;'Infill Capacities'!$CW$19),(O43&lt;='Infill Capacities'!$CX$19))),((O43-'Infill Capacities'!$CW$19)*'Infill Capacities'!$CQ$9*('Infill Capacities'!$CS$19)+'Infill Capacities'!$CM$19),(AND((O43&gt;'Infill Capacities'!$CX$19),(O43&lt;='Infill Capacities'!$CY$19))),((O43-'Infill Capacities'!$CX$19)*'Infill Capacities'!$CQ$9*('Infill Capacities'!$CT$19)+'Infill Capacities'!$CN$19),(AND((O43&gt;'Infill Capacities'!$CY$19),(O43&lt;='Infill Capacities'!$CZ$19))),((O43-'Infill Capacities'!$CY$19)*'Infill Capacities'!$CQ$9*('Infill Capacities'!$CU$19)+'Infill Capacities'!$CP$19))+_xlfn.IFS((O43&lt;='Frame Capacities'!$BO$19),(O43*'Frame Capacities'!$BH$9*'Frame Capacities'!$BI$19),(AND((O43&gt;'Frame Capacities'!$BO$19),(O43&lt;='Frame Capacities'!$BP$19))),((O43-'Frame Capacities'!$BO$19)*'Frame Capacities'!$BH$9*('Frame Capacities'!$BJ$19)+'Frame Capacities'!$BC$19),(AND((O43&gt;'Frame Capacities'!$BP$19),(O43&lt;='Frame Capacities'!$BQ$19))),((O43-'Frame Capacities'!$BP$19)*'Frame Capacities'!$BH$9*('Frame Capacities'!$BK$19)+'Frame Capacities'!$BD$19),(AND((O43&gt;'Frame Capacities'!$BQ$19),(O43&lt;='Frame Capacities'!$BR$19))),((O43-'Frame Capacities'!$BQ$19)*'Frame Capacities'!$BH$9*('Frame Capacities'!$BL$19)+'Frame Capacities'!$BE$19))</f>
        <v>99.99999227978364</v>
      </c>
      <c r="U43" s="431">
        <f>U42+T43*K43</f>
        <v>1238.4251946875524</v>
      </c>
      <c r="V43" s="495"/>
      <c r="X43" s="69">
        <v>1</v>
      </c>
      <c r="Y43" s="70">
        <f>'Structural Information'!$Z$11</f>
        <v>40.367000000000004</v>
      </c>
      <c r="Z43" s="70">
        <f t="shared" si="24"/>
        <v>6.7156895291610591E-2</v>
      </c>
      <c r="AA43" s="70">
        <f t="shared" si="25"/>
        <v>0.18468146205192912</v>
      </c>
      <c r="AB43" s="68" t="s">
        <v>382</v>
      </c>
    </row>
    <row r="44" spans="2:28" x14ac:dyDescent="0.25">
      <c r="B44" s="503">
        <v>7</v>
      </c>
      <c r="C44" s="19">
        <f>V71*-1</f>
        <v>-99.999998772354672</v>
      </c>
      <c r="D44" s="506">
        <f>M71</f>
        <v>8.8706729885236167E-3</v>
      </c>
      <c r="E44" s="20" t="e">
        <f t="shared" ref="E44:E47" si="30">((C44-C43)/(D44-D43))*-1</f>
        <v>#DIV/0!</v>
      </c>
      <c r="G44" s="507"/>
      <c r="X44" s="496"/>
      <c r="Y44" s="68" t="s">
        <v>95</v>
      </c>
      <c r="Z44" s="497">
        <f>SUM(Z38:Z43)</f>
        <v>1.3806947246626657</v>
      </c>
      <c r="AA44" s="497">
        <f>SUM(AA38:AA43)</f>
        <v>17.098871541857882</v>
      </c>
      <c r="AB44" s="430">
        <f>2*PI()*SQRT(AB42/AB40)</f>
        <v>0.83852635202767545</v>
      </c>
    </row>
    <row r="45" spans="2:28" x14ac:dyDescent="0.25">
      <c r="B45" s="503">
        <v>8</v>
      </c>
      <c r="C45" s="19">
        <f>V82*-1</f>
        <v>-99.999998772354672</v>
      </c>
      <c r="D45" s="506">
        <f>M82</f>
        <v>8.8706729885236167E-3</v>
      </c>
      <c r="E45" s="20" t="e">
        <f t="shared" si="30"/>
        <v>#DIV/0!</v>
      </c>
      <c r="G45" s="507"/>
    </row>
    <row r="46" spans="2:28" x14ac:dyDescent="0.25">
      <c r="B46" s="503">
        <v>9</v>
      </c>
      <c r="C46" s="19">
        <f>V93*-1</f>
        <v>-99.999998772354672</v>
      </c>
      <c r="D46" s="506">
        <f>M93</f>
        <v>8.8706729885236167E-3</v>
      </c>
      <c r="E46" s="20" t="e">
        <f t="shared" si="30"/>
        <v>#DIV/0!</v>
      </c>
      <c r="G46" s="507"/>
      <c r="J46" s="944" t="s">
        <v>128</v>
      </c>
      <c r="K46" s="945"/>
      <c r="L46" s="945"/>
      <c r="M46" s="945"/>
      <c r="N46" s="945"/>
      <c r="O46" s="945"/>
      <c r="P46" s="945"/>
      <c r="Q46" s="945"/>
      <c r="R46" s="945"/>
      <c r="S46" s="945"/>
      <c r="T46" s="945"/>
      <c r="U46" s="945"/>
      <c r="V46" s="946"/>
      <c r="X46" s="925" t="s">
        <v>124</v>
      </c>
      <c r="Y46" s="925"/>
      <c r="Z46" s="925"/>
      <c r="AA46" s="925"/>
      <c r="AB46" s="925"/>
    </row>
    <row r="47" spans="2:28" ht="15" customHeight="1" x14ac:dyDescent="0.25">
      <c r="B47" s="503">
        <v>10</v>
      </c>
      <c r="C47" s="19">
        <f>V104*-1</f>
        <v>-99.999998772354672</v>
      </c>
      <c r="D47" s="506">
        <f>M104</f>
        <v>8.8706729885236167E-3</v>
      </c>
      <c r="E47" s="20" t="e">
        <f t="shared" si="30"/>
        <v>#DIV/0!</v>
      </c>
      <c r="G47" s="507"/>
      <c r="J47" s="590" t="s">
        <v>9</v>
      </c>
      <c r="K47" s="588" t="s">
        <v>3</v>
      </c>
      <c r="L47" s="588" t="s">
        <v>89</v>
      </c>
      <c r="M47" s="590" t="s">
        <v>91</v>
      </c>
      <c r="N47" s="590" t="s">
        <v>98</v>
      </c>
      <c r="O47" s="588" t="s">
        <v>119</v>
      </c>
      <c r="P47" s="588" t="s">
        <v>286</v>
      </c>
      <c r="Q47" s="588" t="s">
        <v>287</v>
      </c>
      <c r="R47" s="590" t="s">
        <v>457</v>
      </c>
      <c r="S47" s="590" t="s">
        <v>458</v>
      </c>
      <c r="T47" s="590" t="s">
        <v>92</v>
      </c>
      <c r="U47" s="588" t="s">
        <v>120</v>
      </c>
      <c r="V47" s="590" t="s">
        <v>96</v>
      </c>
      <c r="X47" s="590" t="s">
        <v>9</v>
      </c>
      <c r="Y47" s="924" t="s">
        <v>93</v>
      </c>
      <c r="Z47" s="924" t="s">
        <v>94</v>
      </c>
      <c r="AA47" s="924" t="s">
        <v>122</v>
      </c>
      <c r="AB47" s="588" t="s">
        <v>123</v>
      </c>
    </row>
    <row r="48" spans="2:28" x14ac:dyDescent="0.25">
      <c r="B48" s="503">
        <v>11</v>
      </c>
      <c r="C48" s="19">
        <f>V115*-1</f>
        <v>-99.999998772354672</v>
      </c>
      <c r="D48" s="506">
        <f>M115</f>
        <v>8.8706729885236167E-3</v>
      </c>
      <c r="E48" s="20" t="e">
        <f t="shared" ref="E48:E57" si="31">((C48-C47)/(D48-D47))*-1</f>
        <v>#DIV/0!</v>
      </c>
      <c r="G48" s="507"/>
      <c r="J48" s="590"/>
      <c r="K48" s="588"/>
      <c r="L48" s="588"/>
      <c r="M48" s="590"/>
      <c r="N48" s="590"/>
      <c r="O48" s="588"/>
      <c r="P48" s="588"/>
      <c r="Q48" s="588"/>
      <c r="R48" s="590"/>
      <c r="S48" s="590"/>
      <c r="T48" s="590"/>
      <c r="U48" s="588"/>
      <c r="V48" s="590"/>
      <c r="X48" s="590"/>
      <c r="Y48" s="924"/>
      <c r="Z48" s="924"/>
      <c r="AA48" s="924"/>
      <c r="AB48" s="588"/>
    </row>
    <row r="49" spans="2:28" x14ac:dyDescent="0.25">
      <c r="B49" s="503">
        <v>12</v>
      </c>
      <c r="C49" s="19">
        <f>V126*-1</f>
        <v>-99.999998772354672</v>
      </c>
      <c r="D49" s="506">
        <f>M126</f>
        <v>8.8706729885236167E-3</v>
      </c>
      <c r="E49" s="20" t="e">
        <f t="shared" si="31"/>
        <v>#DIV/0!</v>
      </c>
      <c r="G49" s="507"/>
      <c r="J49" s="489">
        <v>6</v>
      </c>
      <c r="K49" s="431">
        <f>'Structural Information'!$U$6</f>
        <v>3</v>
      </c>
      <c r="L49" s="431">
        <f>L50+K49</f>
        <v>17.75</v>
      </c>
      <c r="M49" s="490">
        <f>'Yield Mechanism'!$X$57</f>
        <v>8.8706729885236167E-3</v>
      </c>
      <c r="N49" s="71">
        <f>M49-M50</f>
        <v>6.7920838535619546E-4</v>
      </c>
      <c r="O49" s="491">
        <f t="shared" ref="O49:O54" si="32">N49/K49</f>
        <v>2.2640279511873182E-4</v>
      </c>
      <c r="P49" s="490">
        <f>$C$26</f>
        <v>8.3119145368492249E-3</v>
      </c>
      <c r="Q49" s="490">
        <f>$D$26</f>
        <v>2.2387978504494433E-3</v>
      </c>
      <c r="R49" s="70">
        <f>O49/P49</f>
        <v>2.7238344922222182E-2</v>
      </c>
      <c r="S49" s="70">
        <f>O49/Q49</f>
        <v>0.10112694858684136</v>
      </c>
      <c r="T49" s="431">
        <f>_xlfn.IFS((O49&lt;='Infill Capacities'!$CW$14),(O49*'Infill Capacities'!$CR$14*'Infill Capacities'!$CQ$4),(AND((O49&gt;'Infill Capacities'!$CW$14),(O49&lt;='Infill Capacities'!$CX$14))),((O49-'Infill Capacities'!$CW$14)*'Infill Capacities'!$CQ$4*('Infill Capacities'!$CS$14)+'Infill Capacities'!$CM$14),(AND((O49&gt;'Infill Capacities'!$CX$14),(O49&lt;='Infill Capacities'!$CY$14))),((O49-'Infill Capacities'!$CX$14)*'Infill Capacities'!$CQ$4*('Infill Capacities'!$CT$14)+'Infill Capacities'!$CN$14),(AND((O49&gt;'Infill Capacities'!$CY$14),(O49&lt;='Infill Capacities'!$CZ$14))),((O49-'Infill Capacities'!$CY$14)*'Infill Capacities'!$CQ$4*('Infill Capacities'!$CU$14)+'Infill Capacities'!$CP$14))+_xlfn.IFS((O49&lt;='Frame Capacities'!$BO$14),(O49*'Frame Capacities'!$BH$4*'Frame Capacities'!$BI$14),(AND((O49&gt;'Frame Capacities'!$BO$14),(O49&lt;='Frame Capacities'!$BP$14))),((O49-'Frame Capacities'!$BO$14)*'Frame Capacities'!$BH$4*('Frame Capacities'!$BJ$14)+'Frame Capacities'!$BC$14),(AND((O49&gt;'Frame Capacities'!$BP$14),(O49&lt;='Frame Capacities'!$BQ$14))),((O49-'Frame Capacities'!$BP$14)*'Frame Capacities'!$BH$4*('Frame Capacities'!$BK$14)+'Frame Capacities'!$BD$14),(AND((O49&gt;'Frame Capacities'!$BQ$14),(O49&lt;='Frame Capacities'!$BR$14))),((O49-'Frame Capacities'!$BQ$14)*'Frame Capacities'!$BH$4*('Frame Capacities'!$BL$14)+'Frame Capacities'!$BE$14))</f>
        <v>24.314358638495708</v>
      </c>
      <c r="U49" s="431">
        <f>K49*T49</f>
        <v>72.943075915487128</v>
      </c>
      <c r="V49" s="70">
        <f>U54/AB49</f>
        <v>99.999998772354672</v>
      </c>
      <c r="X49" s="69">
        <v>6</v>
      </c>
      <c r="Y49" s="70">
        <f>'Structural Information'!$Z$6</f>
        <v>37.8446</v>
      </c>
      <c r="Z49" s="70">
        <f t="shared" ref="Z49:Z54" si="33">Y49*M49</f>
        <v>0.33570707098148084</v>
      </c>
      <c r="AA49" s="70">
        <f t="shared" ref="AA49:AA54" si="34">Z49*L49</f>
        <v>5.9588005099212848</v>
      </c>
      <c r="AB49" s="70">
        <f>AA55/Z55</f>
        <v>12.384252098910217</v>
      </c>
    </row>
    <row r="50" spans="2:28" x14ac:dyDescent="0.25">
      <c r="B50" s="503">
        <v>13</v>
      </c>
      <c r="C50" s="19">
        <f>V137*-1</f>
        <v>-99.999998772354672</v>
      </c>
      <c r="D50" s="506">
        <f>M137</f>
        <v>8.8706729885236167E-3</v>
      </c>
      <c r="E50" s="20" t="e">
        <f t="shared" si="31"/>
        <v>#DIV/0!</v>
      </c>
      <c r="G50" s="507"/>
      <c r="J50" s="489">
        <v>5</v>
      </c>
      <c r="K50" s="431">
        <f>'Structural Information'!$U$7</f>
        <v>3</v>
      </c>
      <c r="L50" s="431">
        <f>L51+K50</f>
        <v>14.75</v>
      </c>
      <c r="M50" s="490">
        <f>'Yield Mechanism'!$X$58</f>
        <v>8.1914646031674213E-3</v>
      </c>
      <c r="N50" s="71">
        <f>M50-M51</f>
        <v>1.1731887339810039E-3</v>
      </c>
      <c r="O50" s="491">
        <f t="shared" si="32"/>
        <v>3.9106291132700129E-4</v>
      </c>
      <c r="P50" s="490">
        <f>$C$27</f>
        <v>9.597600000000003E-3</v>
      </c>
      <c r="Q50" s="490">
        <f>$D$27</f>
        <v>1.92360761471166E-3</v>
      </c>
      <c r="R50" s="70">
        <f t="shared" ref="R50:R52" si="35">O50/P50</f>
        <v>4.0745906406497577E-2</v>
      </c>
      <c r="S50" s="70">
        <f t="shared" ref="S50:S51" si="36">O50/Q50</f>
        <v>0.20329661222807119</v>
      </c>
      <c r="T50" s="431">
        <f>_xlfn.IFS((O50&lt;='Infill Capacities'!$CW$15),(O50*'Infill Capacities'!$CR$15*'Infill Capacities'!$CQ$5),(AND((O50&gt;'Infill Capacities'!$CW$15),(O50&lt;='Infill Capacities'!$CX$15))),((O50-'Infill Capacities'!$CW$15)*'Infill Capacities'!$CQ$5*('Infill Capacities'!$CS$15)+'Infill Capacities'!$CM$15),(AND((O50&gt;'Infill Capacities'!$CX$15),(O50&lt;='Infill Capacities'!$CY$15))),((O50-'Infill Capacities'!$CX$15)*'Infill Capacities'!$CQ$5*('Infill Capacities'!$CT$15)+'Infill Capacities'!$CN$15),(AND((O50&gt;'Infill Capacities'!$CY$15),(O50&lt;='Infill Capacities'!$CZ$15))),((O50-'Infill Capacities'!$CY$15)*'Infill Capacities'!$CQ$5*('Infill Capacities'!$CU$15)+'Infill Capacities'!$CP$15))+_xlfn.IFS((O50&lt;='Frame Capacities'!$BO$15),(O50*'Frame Capacities'!$BH$5*'Frame Capacities'!$BI$15),(AND((O50&gt;'Frame Capacities'!$BO$15),(O50&lt;='Frame Capacities'!$BP$15))),((O50-'Frame Capacities'!$BO$15)*'Frame Capacities'!$BH$5*('Frame Capacities'!$BJ$15)+'Frame Capacities'!$BC$15),(AND((O50&gt;'Frame Capacities'!$BP$15),(O50&lt;='Frame Capacities'!$BQ$15))),((O50-'Frame Capacities'!$BP$15)*'Frame Capacities'!$BH$5*('Frame Capacities'!$BK$15)+'Frame Capacities'!$BD$15),(AND((O50&gt;'Frame Capacities'!$BQ$15),(O50&lt;='Frame Capacities'!$BR$15))),((O50-'Frame Capacities'!$BQ$15)*'Frame Capacities'!$BH$5*('Frame Capacities'!$BL$15)+'Frame Capacities'!$BE$15))</f>
        <v>48.263523243971207</v>
      </c>
      <c r="U50" s="431">
        <f>U49+T50*K50</f>
        <v>217.73364564740075</v>
      </c>
      <c r="V50" s="492"/>
      <c r="X50" s="69">
        <v>5</v>
      </c>
      <c r="Y50" s="70">
        <f>'Structural Information'!$Z$7</f>
        <v>40.367000000000004</v>
      </c>
      <c r="Z50" s="70">
        <f t="shared" si="33"/>
        <v>0.33066485163605935</v>
      </c>
      <c r="AA50" s="70">
        <f t="shared" si="34"/>
        <v>4.8773065616318751</v>
      </c>
      <c r="AB50" s="68" t="s">
        <v>381</v>
      </c>
    </row>
    <row r="51" spans="2:28" x14ac:dyDescent="0.25">
      <c r="B51" s="503">
        <v>14</v>
      </c>
      <c r="C51" s="19">
        <f>V148*-1</f>
        <v>-99.999998772354672</v>
      </c>
      <c r="D51" s="506">
        <f>M148</f>
        <v>8.8706729885236167E-3</v>
      </c>
      <c r="E51" s="20" t="e">
        <f t="shared" si="31"/>
        <v>#DIV/0!</v>
      </c>
      <c r="G51" s="507"/>
      <c r="J51" s="489">
        <v>4</v>
      </c>
      <c r="K51" s="431">
        <f>'Structural Information'!$U$8</f>
        <v>3</v>
      </c>
      <c r="L51" s="431">
        <f>L52+K51</f>
        <v>11.75</v>
      </c>
      <c r="M51" s="490">
        <f>'Yield Mechanism'!$X$59</f>
        <v>7.0182758691864173E-3</v>
      </c>
      <c r="N51" s="491">
        <f>M51-M52</f>
        <v>1.5927336164272138E-3</v>
      </c>
      <c r="O51" s="491">
        <f t="shared" si="32"/>
        <v>5.3091120547573789E-4</v>
      </c>
      <c r="P51" s="490">
        <f>$C$28</f>
        <v>9.015519176800749E-3</v>
      </c>
      <c r="Q51" s="490">
        <f>$D$28</f>
        <v>1.852250472241956E-3</v>
      </c>
      <c r="R51" s="70">
        <f t="shared" si="35"/>
        <v>5.8888589227552093E-2</v>
      </c>
      <c r="S51" s="70">
        <f t="shared" si="36"/>
        <v>0.28663035233735168</v>
      </c>
      <c r="T51" s="431">
        <f>_xlfn.IFS((O51&lt;='Infill Capacities'!$CW$16),(O51*'Infill Capacities'!$CR$16*'Infill Capacities'!$CQ$6),(AND((O51&gt;'Infill Capacities'!$CW$16),(O51&lt;='Infill Capacities'!$CX$16))),((O51-'Infill Capacities'!$CW$16)*'Infill Capacities'!$CQ$6*('Infill Capacities'!$CS$16)+'Infill Capacities'!$CM$16),(AND((O51&gt;'Infill Capacities'!$CX$16),(O51&lt;='Infill Capacities'!$CY$16))),((O51-'Infill Capacities'!$CX$16)*'Infill Capacities'!$CQ$6*('Infill Capacities'!$CT$16)+'Infill Capacities'!$CN$16),(AND((O51&gt;'Infill Capacities'!$CY$16),(O51&lt;='Infill Capacities'!$CZ$16))),((O51-'Infill Capacities'!$CY$16)*'Infill Capacities'!$CQ$6*('Infill Capacities'!$CU$16)+'Infill Capacities'!$CP$16))+_xlfn.IFS((O51&lt;='Frame Capacities'!$BO$16),(O51*'Frame Capacities'!$BH$6*'Frame Capacities'!$BI$16),(AND((O51&gt;'Frame Capacities'!$BO$16),(O51&lt;='Frame Capacities'!$BP$16))),((O51-'Frame Capacities'!$BO$16)*'Frame Capacities'!$BH$6*('Frame Capacities'!$BJ$16)+'Frame Capacities'!$BC$16),(AND((O51&gt;'Frame Capacities'!$BP$16),(O51&lt;='Frame Capacities'!$BQ$16))),((O51-'Frame Capacities'!$BP$16)*'Frame Capacities'!$BH$6*('Frame Capacities'!$BK$16)+'Frame Capacities'!$BD$16),(AND((O51&gt;'Frame Capacities'!$BQ$16),(O51&lt;='Frame Capacities'!$BR$16))),((O51-'Frame Capacities'!$BQ$16)*'Frame Capacities'!$BH$6*('Frame Capacities'!$BL$16)+'Frame Capacities'!$BE$16))</f>
        <v>68.782667375673356</v>
      </c>
      <c r="U51" s="431">
        <f>U50+T51*K51</f>
        <v>424.08164777442084</v>
      </c>
      <c r="V51" s="493" t="s">
        <v>130</v>
      </c>
      <c r="X51" s="69">
        <v>4</v>
      </c>
      <c r="Y51" s="70">
        <f>'Structural Information'!$Z$8</f>
        <v>40.367000000000004</v>
      </c>
      <c r="Z51" s="70">
        <f t="shared" si="33"/>
        <v>0.28330674201144812</v>
      </c>
      <c r="AA51" s="70">
        <f t="shared" si="34"/>
        <v>3.3288542186345156</v>
      </c>
      <c r="AB51" s="430">
        <f>T54/M49</f>
        <v>11273.100970936261</v>
      </c>
    </row>
    <row r="52" spans="2:28" x14ac:dyDescent="0.25">
      <c r="B52" s="503">
        <v>15</v>
      </c>
      <c r="C52" s="19">
        <f>V159*-1</f>
        <v>-99.999998772354672</v>
      </c>
      <c r="D52" s="506">
        <f>M159</f>
        <v>8.8706729885236167E-3</v>
      </c>
      <c r="E52" s="20" t="e">
        <f t="shared" si="31"/>
        <v>#DIV/0!</v>
      </c>
      <c r="G52" s="507"/>
      <c r="J52" s="489">
        <v>3</v>
      </c>
      <c r="K52" s="431">
        <f>'Structural Information'!$U$9</f>
        <v>3</v>
      </c>
      <c r="L52" s="431">
        <f>L53+K52</f>
        <v>8.75</v>
      </c>
      <c r="M52" s="490">
        <f>'Yield Mechanism'!$X$60</f>
        <v>5.4255422527592035E-3</v>
      </c>
      <c r="N52" s="71">
        <f>M52-M53</f>
        <v>1.83730679743837E-3</v>
      </c>
      <c r="O52" s="491">
        <f t="shared" si="32"/>
        <v>6.1243559914612338E-4</v>
      </c>
      <c r="P52" s="490">
        <f>$C$29</f>
        <v>8.5822017391304368E-3</v>
      </c>
      <c r="Q52" s="490">
        <f>$D$29</f>
        <v>1.7915672005543457E-3</v>
      </c>
      <c r="R52" s="431">
        <f t="shared" si="35"/>
        <v>7.1361128270118757E-2</v>
      </c>
      <c r="S52" s="70">
        <f>O52/Q52</f>
        <v>0.34184349822692889</v>
      </c>
      <c r="T52" s="431">
        <f>_xlfn.IFS((O52&lt;='Infill Capacities'!$CW$17),(O52*'Infill Capacities'!$CR$17*'Infill Capacities'!$CQ$7),(AND((O52&gt;'Infill Capacities'!$CW$17),(O52&lt;='Infill Capacities'!$CX$17))),((O52-'Infill Capacities'!$CW$17)*'Infill Capacities'!$CQ$7*('Infill Capacities'!$CS$17)+'Infill Capacities'!$CM$17),(AND((O52&gt;'Infill Capacities'!$CX$17),(O52&lt;='Infill Capacities'!$CY$17))),((O52-'Infill Capacities'!$CX$17)*'Infill Capacities'!$CQ$7*('Infill Capacities'!$CT$17)+'Infill Capacities'!$CN$17),(AND((O52&gt;'Infill Capacities'!$CY$17),(O52&lt;='Infill Capacities'!$CZ$17))),((O52-'Infill Capacities'!$CY$17)*'Infill Capacities'!$CQ$7*('Infill Capacities'!$CU$17)+'Infill Capacities'!$CP$17))+_xlfn.IFS((O52&lt;='Frame Capacities'!$BO$17),(O52*'Frame Capacities'!$BH$7*'Frame Capacities'!$BI$17),(AND((O52&gt;'Frame Capacities'!$BO$17),(O52&lt;='Frame Capacities'!$BP$17))),((O52-'Frame Capacities'!$BO$17)*'Frame Capacities'!$BH$7*('Frame Capacities'!$BJ$17)+'Frame Capacities'!$BC$17),(AND((O52&gt;'Frame Capacities'!$BP$17),(O52&lt;='Frame Capacities'!$BQ$17))),((O52-'Frame Capacities'!$BP$17)*'Frame Capacities'!$BH$7*('Frame Capacities'!$BK$17)+'Frame Capacities'!$BD$17),(AND((O52&gt;'Frame Capacities'!$BQ$17),(O52&lt;='Frame Capacities'!$BR$17))),((O52-'Frame Capacities'!$BQ$17)*'Frame Capacities'!$BH$7*('Frame Capacities'!$BL$17)+'Frame Capacities'!$BE$17))</f>
        <v>84.645179741290264</v>
      </c>
      <c r="U52" s="431">
        <f>U51+T52*K52</f>
        <v>678.01718699829166</v>
      </c>
      <c r="V52" s="494">
        <v>0</v>
      </c>
      <c r="X52" s="69">
        <v>3</v>
      </c>
      <c r="Y52" s="70">
        <f>'Structural Information'!$Z$9</f>
        <v>40.367000000000004</v>
      </c>
      <c r="Z52" s="70">
        <f t="shared" si="33"/>
        <v>0.21901286411713081</v>
      </c>
      <c r="AA52" s="70">
        <f t="shared" si="34"/>
        <v>1.9163625610248947</v>
      </c>
      <c r="AB52" s="351" t="s">
        <v>383</v>
      </c>
    </row>
    <row r="53" spans="2:28" x14ac:dyDescent="0.25">
      <c r="B53" s="503">
        <v>16</v>
      </c>
      <c r="C53" s="19">
        <f>V170*-1</f>
        <v>-99.999998772354672</v>
      </c>
      <c r="D53" s="506">
        <f>M170</f>
        <v>8.8706729885236167E-3</v>
      </c>
      <c r="E53" s="20" t="e">
        <f t="shared" si="31"/>
        <v>#DIV/0!</v>
      </c>
      <c r="G53" s="507"/>
      <c r="J53" s="489">
        <v>2</v>
      </c>
      <c r="K53" s="431">
        <f>'Structural Information'!$U$10</f>
        <v>3</v>
      </c>
      <c r="L53" s="431">
        <f>L54+K53</f>
        <v>5.75</v>
      </c>
      <c r="M53" s="490">
        <f>'Yield Mechanism'!$X$61</f>
        <v>3.5882354553208335E-3</v>
      </c>
      <c r="N53" s="71">
        <f>M53-M54</f>
        <v>1.9245771380911512E-3</v>
      </c>
      <c r="O53" s="491">
        <f t="shared" si="32"/>
        <v>6.4152571269705035E-4</v>
      </c>
      <c r="P53" s="490">
        <f>$C$30</f>
        <v>6.7523273096129852E-3</v>
      </c>
      <c r="Q53" s="490">
        <f>$D$30</f>
        <v>1.7342707198796904E-3</v>
      </c>
      <c r="R53" s="70">
        <f>O53/P53</f>
        <v>9.5008088808689564E-2</v>
      </c>
      <c r="S53" s="70">
        <f t="shared" ref="S53:S54" si="37">O53/Q53</f>
        <v>0.36991094028362204</v>
      </c>
      <c r="T53" s="431">
        <f>_xlfn.IFS((O53&lt;='Infill Capacities'!$CW$18),(O53*'Infill Capacities'!$CR$18*'Infill Capacities'!$CQ$8),(AND((O53&gt;'Infill Capacities'!$CW$18),(O53&lt;='Infill Capacities'!$CX$18))),((O53-'Infill Capacities'!$CW$18)*'Infill Capacities'!$CQ$8*('Infill Capacities'!$CS$18)+'Infill Capacities'!$CM$18),(AND((O53&gt;'Infill Capacities'!$CX$18),(O53&lt;='Infill Capacities'!$CY$18))),((O53-'Infill Capacities'!$CX$18)*'Infill Capacities'!$CQ$8*('Infill Capacities'!$CT$18)+'Infill Capacities'!$CN$18),(AND((O53&gt;'Infill Capacities'!$CY$18),(O53&lt;='Infill Capacities'!$CZ$18))),((O53-'Infill Capacities'!$CY$18)*'Infill Capacities'!$CQ$8*('Infill Capacities'!$CU$18)+'Infill Capacities'!$CP$18))+_xlfn.IFS((O53&lt;='Frame Capacities'!$BO$18),(O53*'Frame Capacities'!$BH$8*'Frame Capacities'!$BI$18),(AND((O53&gt;'Frame Capacities'!$BO$18),(O53&lt;='Frame Capacities'!$BP$18))),((O53-'Frame Capacities'!$BO$18)*'Frame Capacities'!$BH$8*('Frame Capacities'!$BJ$18)+'Frame Capacities'!$BC$18),(AND((O53&gt;'Frame Capacities'!$BP$18),(O53&lt;='Frame Capacities'!$BQ$18))),((O53-'Frame Capacities'!$BP$18)*'Frame Capacities'!$BH$8*('Frame Capacities'!$BK$18)+'Frame Capacities'!$BD$18),(AND((O53&gt;'Frame Capacities'!$BQ$18),(O53&lt;='Frame Capacities'!$BR$18))),((O53-'Frame Capacities'!$BQ$18)*'Frame Capacities'!$BH$8*('Frame Capacities'!$BL$18)+'Frame Capacities'!$BE$18))</f>
        <v>95.136009639951936</v>
      </c>
      <c r="U53" s="431">
        <f>U52+T53*K53</f>
        <v>963.4252159181475</v>
      </c>
      <c r="V53" s="492"/>
      <c r="X53" s="69">
        <v>2</v>
      </c>
      <c r="Y53" s="70">
        <f>'Structural Information'!$Z$10</f>
        <v>40.367000000000004</v>
      </c>
      <c r="Z53" s="70">
        <f t="shared" si="33"/>
        <v>0.14484630062493611</v>
      </c>
      <c r="AA53" s="70">
        <f t="shared" si="34"/>
        <v>0.83286622859338266</v>
      </c>
      <c r="AB53" s="70">
        <f>(('Structural Information'!$Z$6*M49+'Structural Information'!$Z$7*M50+'Structural Information'!$Z$8*M51+'Structural Information'!$Z$9*M52+'Structural Information'!$Z$10*M53+'Structural Information'!$Z$11*M54)^2)/('Structural Information'!$Z$6*M49*M49+'Structural Information'!$Z$7*M50*M50+'Structural Information'!$Z$8*M51*M51+'Structural Information'!$Z$9*M52*M52+'Structural Information'!$Z$10*M53*M53+'Structural Information'!$Z$11*M54*M54)</f>
        <v>200.77844728267124</v>
      </c>
    </row>
    <row r="54" spans="2:28" x14ac:dyDescent="0.25">
      <c r="B54" s="503">
        <v>17</v>
      </c>
      <c r="C54" s="19">
        <f>V181*-1</f>
        <v>-99.999998772354672</v>
      </c>
      <c r="D54" s="506">
        <f>M181</f>
        <v>8.8706729885236167E-3</v>
      </c>
      <c r="E54" s="20" t="e">
        <f t="shared" si="31"/>
        <v>#DIV/0!</v>
      </c>
      <c r="G54" s="507"/>
      <c r="J54" s="489">
        <v>1</v>
      </c>
      <c r="K54" s="431">
        <f>'Structural Information'!$U$11</f>
        <v>2.75</v>
      </c>
      <c r="L54" s="431">
        <f>K54</f>
        <v>2.75</v>
      </c>
      <c r="M54" s="490">
        <f>'Yield Mechanism'!$X$62</f>
        <v>1.6636583172296823E-3</v>
      </c>
      <c r="N54" s="71">
        <f>M54</f>
        <v>1.6636583172296823E-3</v>
      </c>
      <c r="O54" s="491">
        <f t="shared" si="32"/>
        <v>6.0496666081079353E-4</v>
      </c>
      <c r="P54" s="490">
        <f>$C$31</f>
        <v>5.3120868684138484E-3</v>
      </c>
      <c r="Q54" s="490">
        <f>$D$31</f>
        <v>1.7606502644787157E-3</v>
      </c>
      <c r="R54" s="70">
        <f t="shared" ref="R54" si="38">O54/P54</f>
        <v>0.11388493369865246</v>
      </c>
      <c r="S54" s="70">
        <f t="shared" si="37"/>
        <v>0.34360410640094324</v>
      </c>
      <c r="T54" s="431">
        <f>_xlfn.IFS((O54&lt;='Infill Capacities'!$CW$19),(O54*'Infill Capacities'!$CR$19*'Infill Capacities'!$CQ$9),(AND((O54&gt;'Infill Capacities'!$CW$19),(O54&lt;='Infill Capacities'!$CX$19))),((O54-'Infill Capacities'!$CW$19)*'Infill Capacities'!$CQ$9*('Infill Capacities'!$CS$19)+'Infill Capacities'!$CM$19),(AND((O54&gt;'Infill Capacities'!$CX$19),(O54&lt;='Infill Capacities'!$CY$19))),((O54-'Infill Capacities'!$CX$19)*'Infill Capacities'!$CQ$9*('Infill Capacities'!$CT$19)+'Infill Capacities'!$CN$19),(AND((O54&gt;'Infill Capacities'!$CY$19),(O54&lt;='Infill Capacities'!$CZ$19))),((O54-'Infill Capacities'!$CY$19)*'Infill Capacities'!$CQ$9*('Infill Capacities'!$CU$19)+'Infill Capacities'!$CP$19))+_xlfn.IFS((O54&lt;='Frame Capacities'!$BO$19),(O54*'Frame Capacities'!$BH$9*'Frame Capacities'!$BI$19),(AND((O54&gt;'Frame Capacities'!$BO$19),(O54&lt;='Frame Capacities'!$BP$19))),((O54-'Frame Capacities'!$BO$19)*'Frame Capacities'!$BH$9*('Frame Capacities'!$BJ$19)+'Frame Capacities'!$BC$19),(AND((O54&gt;'Frame Capacities'!$BP$19),(O54&lt;='Frame Capacities'!$BQ$19))),((O54-'Frame Capacities'!$BP$19)*'Frame Capacities'!$BH$9*('Frame Capacities'!$BK$19)+'Frame Capacities'!$BD$19),(AND((O54&gt;'Frame Capacities'!$BQ$19),(O54&lt;='Frame Capacities'!$BR$19))),((O54-'Frame Capacities'!$BQ$19)*'Frame Capacities'!$BH$9*('Frame Capacities'!$BL$19)+'Frame Capacities'!$BE$19))</f>
        <v>99.99999227978364</v>
      </c>
      <c r="U54" s="431">
        <f>U53+T54*K54</f>
        <v>1238.4251946875524</v>
      </c>
      <c r="V54" s="495"/>
      <c r="X54" s="69">
        <v>1</v>
      </c>
      <c r="Y54" s="70">
        <f>'Structural Information'!$Z$11</f>
        <v>40.367000000000004</v>
      </c>
      <c r="Z54" s="70">
        <f t="shared" si="33"/>
        <v>6.7156895291610591E-2</v>
      </c>
      <c r="AA54" s="70">
        <f t="shared" si="34"/>
        <v>0.18468146205192912</v>
      </c>
      <c r="AB54" s="68" t="s">
        <v>382</v>
      </c>
    </row>
    <row r="55" spans="2:28" x14ac:dyDescent="0.25">
      <c r="B55" s="503">
        <v>18</v>
      </c>
      <c r="C55" s="19">
        <f>V192*-1</f>
        <v>-99.999998772354672</v>
      </c>
      <c r="D55" s="506">
        <f>M192</f>
        <v>8.8706729885236167E-3</v>
      </c>
      <c r="E55" s="20" t="e">
        <f t="shared" si="31"/>
        <v>#DIV/0!</v>
      </c>
      <c r="G55" s="507"/>
      <c r="X55" s="496"/>
      <c r="Y55" s="68" t="s">
        <v>95</v>
      </c>
      <c r="Z55" s="497">
        <f>SUM(Z49:Z54)</f>
        <v>1.3806947246626657</v>
      </c>
      <c r="AA55" s="497">
        <f>SUM(AA49:AA54)</f>
        <v>17.098871541857882</v>
      </c>
      <c r="AB55" s="430">
        <f>2*PI()*SQRT(AB53/AB51)</f>
        <v>0.83852635202767545</v>
      </c>
    </row>
    <row r="56" spans="2:28" x14ac:dyDescent="0.25">
      <c r="B56" s="503">
        <v>19</v>
      </c>
      <c r="C56" s="19">
        <f>V203*-1</f>
        <v>-99.999998772354672</v>
      </c>
      <c r="D56" s="506">
        <f>M203</f>
        <v>8.8706729885236167E-3</v>
      </c>
      <c r="E56" s="20" t="e">
        <f t="shared" si="31"/>
        <v>#DIV/0!</v>
      </c>
      <c r="G56" s="507"/>
    </row>
    <row r="57" spans="2:28" x14ac:dyDescent="0.25">
      <c r="B57" s="11">
        <v>20</v>
      </c>
      <c r="C57" s="131">
        <f>V214*-1</f>
        <v>-99.999998772354672</v>
      </c>
      <c r="D57" s="508">
        <f>M214</f>
        <v>8.8706729885236167E-3</v>
      </c>
      <c r="E57" s="342" t="e">
        <f t="shared" si="31"/>
        <v>#DIV/0!</v>
      </c>
      <c r="F57" s="509"/>
      <c r="G57" s="510"/>
      <c r="J57" s="956" t="s">
        <v>129</v>
      </c>
      <c r="K57" s="957"/>
      <c r="L57" s="957"/>
      <c r="M57" s="957"/>
      <c r="N57" s="957"/>
      <c r="O57" s="957"/>
      <c r="P57" s="957"/>
      <c r="Q57" s="957"/>
      <c r="R57" s="957"/>
      <c r="S57" s="957"/>
      <c r="T57" s="957"/>
      <c r="U57" s="957"/>
      <c r="V57" s="958"/>
      <c r="W57" s="511"/>
      <c r="X57" s="923" t="s">
        <v>124</v>
      </c>
      <c r="Y57" s="923"/>
      <c r="Z57" s="923"/>
      <c r="AA57" s="923"/>
      <c r="AB57" s="923"/>
    </row>
    <row r="58" spans="2:28" ht="15" customHeight="1" x14ac:dyDescent="0.25">
      <c r="J58" s="590" t="s">
        <v>9</v>
      </c>
      <c r="K58" s="588" t="s">
        <v>3</v>
      </c>
      <c r="L58" s="588" t="s">
        <v>89</v>
      </c>
      <c r="M58" s="590" t="s">
        <v>91</v>
      </c>
      <c r="N58" s="590" t="s">
        <v>98</v>
      </c>
      <c r="O58" s="588" t="s">
        <v>119</v>
      </c>
      <c r="P58" s="588" t="s">
        <v>286</v>
      </c>
      <c r="Q58" s="588" t="s">
        <v>287</v>
      </c>
      <c r="R58" s="590" t="s">
        <v>457</v>
      </c>
      <c r="S58" s="590" t="s">
        <v>458</v>
      </c>
      <c r="T58" s="590" t="s">
        <v>92</v>
      </c>
      <c r="U58" s="588" t="s">
        <v>120</v>
      </c>
      <c r="V58" s="590" t="s">
        <v>96</v>
      </c>
      <c r="X58" s="590" t="s">
        <v>9</v>
      </c>
      <c r="Y58" s="924" t="s">
        <v>93</v>
      </c>
      <c r="Z58" s="924" t="s">
        <v>94</v>
      </c>
      <c r="AA58" s="924" t="s">
        <v>122</v>
      </c>
      <c r="AB58" s="588" t="s">
        <v>123</v>
      </c>
    </row>
    <row r="59" spans="2:28" x14ac:dyDescent="0.25">
      <c r="J59" s="590"/>
      <c r="K59" s="588"/>
      <c r="L59" s="588"/>
      <c r="M59" s="590"/>
      <c r="N59" s="590"/>
      <c r="O59" s="588"/>
      <c r="P59" s="588"/>
      <c r="Q59" s="588"/>
      <c r="R59" s="590"/>
      <c r="S59" s="590"/>
      <c r="T59" s="590"/>
      <c r="U59" s="588"/>
      <c r="V59" s="590"/>
      <c r="X59" s="590"/>
      <c r="Y59" s="924"/>
      <c r="Z59" s="924"/>
      <c r="AA59" s="924"/>
      <c r="AB59" s="588"/>
    </row>
    <row r="60" spans="2:28" x14ac:dyDescent="0.25">
      <c r="J60" s="489">
        <v>6</v>
      </c>
      <c r="K60" s="431">
        <f>'Structural Information'!$U$6</f>
        <v>3</v>
      </c>
      <c r="L60" s="431">
        <f>L61+K60</f>
        <v>17.75</v>
      </c>
      <c r="M60" s="490">
        <f>'Yield Mechanism'!$X$57</f>
        <v>8.8706729885236167E-3</v>
      </c>
      <c r="N60" s="71">
        <f>M60-M61</f>
        <v>6.7920838535619546E-4</v>
      </c>
      <c r="O60" s="491">
        <f t="shared" ref="O60:O65" si="39">N60/K60</f>
        <v>2.2640279511873182E-4</v>
      </c>
      <c r="P60" s="490">
        <f>$C$26</f>
        <v>8.3119145368492249E-3</v>
      </c>
      <c r="Q60" s="490">
        <f>$D$26</f>
        <v>2.2387978504494433E-3</v>
      </c>
      <c r="R60" s="70">
        <f>O60/P60</f>
        <v>2.7238344922222182E-2</v>
      </c>
      <c r="S60" s="70">
        <f>O60/Q60</f>
        <v>0.10112694858684136</v>
      </c>
      <c r="T60" s="431">
        <f>_xlfn.IFS((O60&lt;='Infill Capacities'!$CW$14),(O60*'Infill Capacities'!$CR$14*'Infill Capacities'!$CQ$4),(AND((O60&gt;'Infill Capacities'!$CW$14),(O60&lt;='Infill Capacities'!$CX$14))),((O60-'Infill Capacities'!$CW$14)*'Infill Capacities'!$CQ$4*('Infill Capacities'!$CS$14)+'Infill Capacities'!$CM$14),(AND((O60&gt;'Infill Capacities'!$CX$14),(O60&lt;='Infill Capacities'!$CY$14))),((O60-'Infill Capacities'!$CX$14)*'Infill Capacities'!$CQ$4*('Infill Capacities'!$CT$14)+'Infill Capacities'!$CN$14),(AND((O60&gt;'Infill Capacities'!$CY$14),(O60&lt;='Infill Capacities'!$CZ$14))),((O60-'Infill Capacities'!$CY$14)*'Infill Capacities'!$CQ$4*('Infill Capacities'!$CU$14)+'Infill Capacities'!$CP$14))+_xlfn.IFS((O60&lt;='Frame Capacities'!$BO$14),(O60*'Frame Capacities'!$BH$4*'Frame Capacities'!$BI$14),(AND((O60&gt;'Frame Capacities'!$BO$14),(O60&lt;='Frame Capacities'!$BP$14))),((O60-'Frame Capacities'!$BO$14)*'Frame Capacities'!$BH$4*('Frame Capacities'!$BJ$14)+'Frame Capacities'!$BC$14),(AND((O60&gt;'Frame Capacities'!$BP$14),(O60&lt;='Frame Capacities'!$BQ$14))),((O60-'Frame Capacities'!$BP$14)*'Frame Capacities'!$BH$4*('Frame Capacities'!$BK$14)+'Frame Capacities'!$BD$14),(AND((O60&gt;'Frame Capacities'!$BQ$14),(O60&lt;='Frame Capacities'!$BR$14))),((O60-'Frame Capacities'!$BQ$14)*'Frame Capacities'!$BH$4*('Frame Capacities'!$BL$14)+'Frame Capacities'!$BE$14))</f>
        <v>24.314358638495708</v>
      </c>
      <c r="U60" s="431">
        <f>K60*T60</f>
        <v>72.943075915487128</v>
      </c>
      <c r="V60" s="70">
        <f>U65/AB60</f>
        <v>99.999998772354672</v>
      </c>
      <c r="X60" s="69">
        <v>6</v>
      </c>
      <c r="Y60" s="70">
        <f>'Structural Information'!$Z$6</f>
        <v>37.8446</v>
      </c>
      <c r="Z60" s="70">
        <f t="shared" ref="Z60:Z65" si="40">Y60*M60</f>
        <v>0.33570707098148084</v>
      </c>
      <c r="AA60" s="70">
        <f t="shared" ref="AA60:AA65" si="41">Z60*L60</f>
        <v>5.9588005099212848</v>
      </c>
      <c r="AB60" s="70">
        <f>AA66/Z66</f>
        <v>12.384252098910217</v>
      </c>
    </row>
    <row r="61" spans="2:28" x14ac:dyDescent="0.25">
      <c r="J61" s="489">
        <v>5</v>
      </c>
      <c r="K61" s="431">
        <f>'Structural Information'!$U$7</f>
        <v>3</v>
      </c>
      <c r="L61" s="431">
        <f>L62+K61</f>
        <v>14.75</v>
      </c>
      <c r="M61" s="490">
        <f>'Yield Mechanism'!$X$58</f>
        <v>8.1914646031674213E-3</v>
      </c>
      <c r="N61" s="71">
        <f>M61-M62</f>
        <v>1.1731887339810039E-3</v>
      </c>
      <c r="O61" s="491">
        <f t="shared" si="39"/>
        <v>3.9106291132700129E-4</v>
      </c>
      <c r="P61" s="490">
        <f>$C$27</f>
        <v>9.597600000000003E-3</v>
      </c>
      <c r="Q61" s="490">
        <f>$D$27</f>
        <v>1.92360761471166E-3</v>
      </c>
      <c r="R61" s="70">
        <f t="shared" ref="R61:R63" si="42">O61/P61</f>
        <v>4.0745906406497577E-2</v>
      </c>
      <c r="S61" s="70">
        <f t="shared" ref="S61:S62" si="43">O61/Q61</f>
        <v>0.20329661222807119</v>
      </c>
      <c r="T61" s="431">
        <f>_xlfn.IFS((O61&lt;='Infill Capacities'!$CW$15),(O61*'Infill Capacities'!$CR$15*'Infill Capacities'!$CQ$5),(AND((O61&gt;'Infill Capacities'!$CW$15),(O61&lt;='Infill Capacities'!$CX$15))),((O61-'Infill Capacities'!$CW$15)*'Infill Capacities'!$CQ$5*('Infill Capacities'!$CS$15)+'Infill Capacities'!$CM$15),(AND((O61&gt;'Infill Capacities'!$CX$15),(O61&lt;='Infill Capacities'!$CY$15))),((O61-'Infill Capacities'!$CX$15)*'Infill Capacities'!$CQ$5*('Infill Capacities'!$CT$15)+'Infill Capacities'!$CN$15),(AND((O61&gt;'Infill Capacities'!$CY$15),(O61&lt;='Infill Capacities'!$CZ$15))),((O61-'Infill Capacities'!$CY$15)*'Infill Capacities'!$CQ$5*('Infill Capacities'!$CU$15)+'Infill Capacities'!$CP$15))+_xlfn.IFS((O61&lt;='Frame Capacities'!$BO$15),(O61*'Frame Capacities'!$BH$5*'Frame Capacities'!$BI$15),(AND((O61&gt;'Frame Capacities'!$BO$15),(O61&lt;='Frame Capacities'!$BP$15))),((O61-'Frame Capacities'!$BO$15)*'Frame Capacities'!$BH$5*('Frame Capacities'!$BJ$15)+'Frame Capacities'!$BC$15),(AND((O61&gt;'Frame Capacities'!$BP$15),(O61&lt;='Frame Capacities'!$BQ$15))),((O61-'Frame Capacities'!$BP$15)*'Frame Capacities'!$BH$5*('Frame Capacities'!$BK$15)+'Frame Capacities'!$BD$15),(AND((O61&gt;'Frame Capacities'!$BQ$15),(O61&lt;='Frame Capacities'!$BR$15))),((O61-'Frame Capacities'!$BQ$15)*'Frame Capacities'!$BH$5*('Frame Capacities'!$BL$15)+'Frame Capacities'!$BE$15))</f>
        <v>48.263523243971207</v>
      </c>
      <c r="U61" s="431">
        <f>U60+T61*K61</f>
        <v>217.73364564740075</v>
      </c>
      <c r="V61" s="492"/>
      <c r="X61" s="69">
        <v>5</v>
      </c>
      <c r="Y61" s="70">
        <f>'Structural Information'!$Z$7</f>
        <v>40.367000000000004</v>
      </c>
      <c r="Z61" s="70">
        <f t="shared" si="40"/>
        <v>0.33066485163605935</v>
      </c>
      <c r="AA61" s="70">
        <f t="shared" si="41"/>
        <v>4.8773065616318751</v>
      </c>
      <c r="AB61" s="68" t="s">
        <v>381</v>
      </c>
    </row>
    <row r="62" spans="2:28" x14ac:dyDescent="0.25">
      <c r="J62" s="489">
        <v>4</v>
      </c>
      <c r="K62" s="431">
        <f>'Structural Information'!$U$8</f>
        <v>3</v>
      </c>
      <c r="L62" s="431">
        <f>L63+K62</f>
        <v>11.75</v>
      </c>
      <c r="M62" s="490">
        <f>'Yield Mechanism'!$X$59</f>
        <v>7.0182758691864173E-3</v>
      </c>
      <c r="N62" s="491">
        <f>M62-M63</f>
        <v>1.5927336164272138E-3</v>
      </c>
      <c r="O62" s="491">
        <f t="shared" si="39"/>
        <v>5.3091120547573789E-4</v>
      </c>
      <c r="P62" s="490">
        <f>$C$28</f>
        <v>9.015519176800749E-3</v>
      </c>
      <c r="Q62" s="490">
        <f>$D$28</f>
        <v>1.852250472241956E-3</v>
      </c>
      <c r="R62" s="70">
        <f t="shared" si="42"/>
        <v>5.8888589227552093E-2</v>
      </c>
      <c r="S62" s="70">
        <f t="shared" si="43"/>
        <v>0.28663035233735168</v>
      </c>
      <c r="T62" s="431">
        <f>_xlfn.IFS((O62&lt;='Infill Capacities'!$CW$16),(O62*'Infill Capacities'!$CR$16*'Infill Capacities'!$CQ$6),(AND((O62&gt;'Infill Capacities'!$CW$16),(O62&lt;='Infill Capacities'!$CX$16))),((O62-'Infill Capacities'!$CW$16)*'Infill Capacities'!$CQ$6*('Infill Capacities'!$CS$16)+'Infill Capacities'!$CM$16),(AND((O62&gt;'Infill Capacities'!$CX$16),(O62&lt;='Infill Capacities'!$CY$16))),((O62-'Infill Capacities'!$CX$16)*'Infill Capacities'!$CQ$6*('Infill Capacities'!$CT$16)+'Infill Capacities'!$CN$16),(AND((O62&gt;'Infill Capacities'!$CY$16),(O62&lt;='Infill Capacities'!$CZ$16))),((O62-'Infill Capacities'!$CY$16)*'Infill Capacities'!$CQ$6*('Infill Capacities'!$CU$16)+'Infill Capacities'!$CP$16))+_xlfn.IFS((O62&lt;='Frame Capacities'!$BO$16),(O62*'Frame Capacities'!$BH$6*'Frame Capacities'!$BI$16),(AND((O62&gt;'Frame Capacities'!$BO$16),(O62&lt;='Frame Capacities'!$BP$16))),((O62-'Frame Capacities'!$BO$16)*'Frame Capacities'!$BH$6*('Frame Capacities'!$BJ$16)+'Frame Capacities'!$BC$16),(AND((O62&gt;'Frame Capacities'!$BP$16),(O62&lt;='Frame Capacities'!$BQ$16))),((O62-'Frame Capacities'!$BP$16)*'Frame Capacities'!$BH$6*('Frame Capacities'!$BK$16)+'Frame Capacities'!$BD$16),(AND((O62&gt;'Frame Capacities'!$BQ$16),(O62&lt;='Frame Capacities'!$BR$16))),((O62-'Frame Capacities'!$BQ$16)*'Frame Capacities'!$BH$6*('Frame Capacities'!$BL$16)+'Frame Capacities'!$BE$16))</f>
        <v>68.782667375673356</v>
      </c>
      <c r="U62" s="431">
        <f>U61+T62*K62</f>
        <v>424.08164777442084</v>
      </c>
      <c r="V62" s="493" t="s">
        <v>130</v>
      </c>
      <c r="X62" s="69">
        <v>4</v>
      </c>
      <c r="Y62" s="70">
        <f>'Structural Information'!$Z$8</f>
        <v>40.367000000000004</v>
      </c>
      <c r="Z62" s="70">
        <f t="shared" si="40"/>
        <v>0.28330674201144812</v>
      </c>
      <c r="AA62" s="70">
        <f t="shared" si="41"/>
        <v>3.3288542186345156</v>
      </c>
      <c r="AB62" s="430">
        <f>T65/M60</f>
        <v>11273.100970936261</v>
      </c>
    </row>
    <row r="63" spans="2:28" x14ac:dyDescent="0.25">
      <c r="J63" s="489">
        <v>3</v>
      </c>
      <c r="K63" s="431">
        <f>'Structural Information'!$U$9</f>
        <v>3</v>
      </c>
      <c r="L63" s="431">
        <f>L64+K63</f>
        <v>8.75</v>
      </c>
      <c r="M63" s="490">
        <f>'Yield Mechanism'!$X$60</f>
        <v>5.4255422527592035E-3</v>
      </c>
      <c r="N63" s="71">
        <f>M63-M64</f>
        <v>1.83730679743837E-3</v>
      </c>
      <c r="O63" s="491">
        <f t="shared" si="39"/>
        <v>6.1243559914612338E-4</v>
      </c>
      <c r="P63" s="490">
        <f>$C$29</f>
        <v>8.5822017391304368E-3</v>
      </c>
      <c r="Q63" s="490">
        <f>$D$29</f>
        <v>1.7915672005543457E-3</v>
      </c>
      <c r="R63" s="431">
        <f t="shared" si="42"/>
        <v>7.1361128270118757E-2</v>
      </c>
      <c r="S63" s="70">
        <f>O63/Q63</f>
        <v>0.34184349822692889</v>
      </c>
      <c r="T63" s="431">
        <f>_xlfn.IFS((O63&lt;='Infill Capacities'!$CW$17),(O63*'Infill Capacities'!$CR$17*'Infill Capacities'!$CQ$7),(AND((O63&gt;'Infill Capacities'!$CW$17),(O63&lt;='Infill Capacities'!$CX$17))),((O63-'Infill Capacities'!$CW$17)*'Infill Capacities'!$CQ$7*('Infill Capacities'!$CS$17)+'Infill Capacities'!$CM$17),(AND((O63&gt;'Infill Capacities'!$CX$17),(O63&lt;='Infill Capacities'!$CY$17))),((O63-'Infill Capacities'!$CX$17)*'Infill Capacities'!$CQ$7*('Infill Capacities'!$CT$17)+'Infill Capacities'!$CN$17),(AND((O63&gt;'Infill Capacities'!$CY$17),(O63&lt;='Infill Capacities'!$CZ$17))),((O63-'Infill Capacities'!$CY$17)*'Infill Capacities'!$CQ$7*('Infill Capacities'!$CU$17)+'Infill Capacities'!$CP$17))+_xlfn.IFS((O63&lt;='Frame Capacities'!$BO$17),(O63*'Frame Capacities'!$BH$7*'Frame Capacities'!$BI$17),(AND((O63&gt;'Frame Capacities'!$BO$17),(O63&lt;='Frame Capacities'!$BP$17))),((O63-'Frame Capacities'!$BO$17)*'Frame Capacities'!$BH$7*('Frame Capacities'!$BJ$17)+'Frame Capacities'!$BC$17),(AND((O63&gt;'Frame Capacities'!$BP$17),(O63&lt;='Frame Capacities'!$BQ$17))),((O63-'Frame Capacities'!$BP$17)*'Frame Capacities'!$BH$7*('Frame Capacities'!$BK$17)+'Frame Capacities'!$BD$17),(AND((O63&gt;'Frame Capacities'!$BQ$17),(O63&lt;='Frame Capacities'!$BR$17))),((O63-'Frame Capacities'!$BQ$17)*'Frame Capacities'!$BH$7*('Frame Capacities'!$BL$17)+'Frame Capacities'!$BE$17))</f>
        <v>84.645179741290264</v>
      </c>
      <c r="U63" s="431">
        <f>U62+T63*K63</f>
        <v>678.01718699829166</v>
      </c>
      <c r="V63" s="494">
        <v>0</v>
      </c>
      <c r="X63" s="69">
        <v>3</v>
      </c>
      <c r="Y63" s="70">
        <f>'Structural Information'!$Z$9</f>
        <v>40.367000000000004</v>
      </c>
      <c r="Z63" s="70">
        <f t="shared" si="40"/>
        <v>0.21901286411713081</v>
      </c>
      <c r="AA63" s="70">
        <f t="shared" si="41"/>
        <v>1.9163625610248947</v>
      </c>
      <c r="AB63" s="351" t="s">
        <v>383</v>
      </c>
    </row>
    <row r="64" spans="2:28" x14ac:dyDescent="0.25">
      <c r="J64" s="489">
        <v>2</v>
      </c>
      <c r="K64" s="431">
        <f>'Structural Information'!$U$10</f>
        <v>3</v>
      </c>
      <c r="L64" s="431">
        <f>L65+K64</f>
        <v>5.75</v>
      </c>
      <c r="M64" s="490">
        <f>'Yield Mechanism'!$X$61</f>
        <v>3.5882354553208335E-3</v>
      </c>
      <c r="N64" s="71">
        <f>M64-M65</f>
        <v>1.9245771380911512E-3</v>
      </c>
      <c r="O64" s="491">
        <f t="shared" si="39"/>
        <v>6.4152571269705035E-4</v>
      </c>
      <c r="P64" s="490">
        <f>$C$30</f>
        <v>6.7523273096129852E-3</v>
      </c>
      <c r="Q64" s="490">
        <f>$D$30</f>
        <v>1.7342707198796904E-3</v>
      </c>
      <c r="R64" s="70">
        <f>O64/P64</f>
        <v>9.5008088808689564E-2</v>
      </c>
      <c r="S64" s="70">
        <f t="shared" ref="S64:S65" si="44">O64/Q64</f>
        <v>0.36991094028362204</v>
      </c>
      <c r="T64" s="431">
        <f>_xlfn.IFS((O64&lt;='Infill Capacities'!$CW$18),(O64*'Infill Capacities'!$CR$18*'Infill Capacities'!$CQ$8),(AND((O64&gt;'Infill Capacities'!$CW$18),(O64&lt;='Infill Capacities'!$CX$18))),((O64-'Infill Capacities'!$CW$18)*'Infill Capacities'!$CQ$8*('Infill Capacities'!$CS$18)+'Infill Capacities'!$CM$18),(AND((O64&gt;'Infill Capacities'!$CX$18),(O64&lt;='Infill Capacities'!$CY$18))),((O64-'Infill Capacities'!$CX$18)*'Infill Capacities'!$CQ$8*('Infill Capacities'!$CT$18)+'Infill Capacities'!$CN$18),(AND((O64&gt;'Infill Capacities'!$CY$18),(O64&lt;='Infill Capacities'!$CZ$18))),((O64-'Infill Capacities'!$CY$18)*'Infill Capacities'!$CQ$8*('Infill Capacities'!$CU$18)+'Infill Capacities'!$CP$18))+_xlfn.IFS((O64&lt;='Frame Capacities'!$BO$18),(O64*'Frame Capacities'!$BH$8*'Frame Capacities'!$BI$18),(AND((O64&gt;'Frame Capacities'!$BO$18),(O64&lt;='Frame Capacities'!$BP$18))),((O64-'Frame Capacities'!$BO$18)*'Frame Capacities'!$BH$8*('Frame Capacities'!$BJ$18)+'Frame Capacities'!$BC$18),(AND((O64&gt;'Frame Capacities'!$BP$18),(O64&lt;='Frame Capacities'!$BQ$18))),((O64-'Frame Capacities'!$BP$18)*'Frame Capacities'!$BH$8*('Frame Capacities'!$BK$18)+'Frame Capacities'!$BD$18),(AND((O64&gt;'Frame Capacities'!$BQ$18),(O64&lt;='Frame Capacities'!$BR$18))),((O64-'Frame Capacities'!$BQ$18)*'Frame Capacities'!$BH$8*('Frame Capacities'!$BL$18)+'Frame Capacities'!$BE$18))</f>
        <v>95.136009639951936</v>
      </c>
      <c r="U64" s="431">
        <f>U63+T64*K64</f>
        <v>963.4252159181475</v>
      </c>
      <c r="V64" s="492"/>
      <c r="X64" s="69">
        <v>2</v>
      </c>
      <c r="Y64" s="70">
        <f>'Structural Information'!$Z$10</f>
        <v>40.367000000000004</v>
      </c>
      <c r="Z64" s="70">
        <f t="shared" si="40"/>
        <v>0.14484630062493611</v>
      </c>
      <c r="AA64" s="70">
        <f t="shared" si="41"/>
        <v>0.83286622859338266</v>
      </c>
      <c r="AB64" s="70">
        <f>(('Structural Information'!$Z$6*M60+'Structural Information'!$Z$7*M61+'Structural Information'!$Z$8*M62+'Structural Information'!$Z$9*M63+'Structural Information'!$Z$10*M64+'Structural Information'!$Z$11*M65)^2)/('Structural Information'!$Z$6*M60*M60+'Structural Information'!$Z$7*M61*M61+'Structural Information'!$Z$8*M62*M62+'Structural Information'!$Z$9*M63*M63+'Structural Information'!$Z$10*M64*M64+'Structural Information'!$Z$11*M65*M65)</f>
        <v>200.77844728267124</v>
      </c>
    </row>
    <row r="65" spans="10:28" x14ac:dyDescent="0.25">
      <c r="J65" s="489">
        <v>1</v>
      </c>
      <c r="K65" s="431">
        <f>'Structural Information'!$U$11</f>
        <v>2.75</v>
      </c>
      <c r="L65" s="431">
        <f>K65</f>
        <v>2.75</v>
      </c>
      <c r="M65" s="490">
        <f>'Yield Mechanism'!$X$62</f>
        <v>1.6636583172296823E-3</v>
      </c>
      <c r="N65" s="71">
        <f>M65</f>
        <v>1.6636583172296823E-3</v>
      </c>
      <c r="O65" s="491">
        <f t="shared" si="39"/>
        <v>6.0496666081079353E-4</v>
      </c>
      <c r="P65" s="490">
        <f>$C$31</f>
        <v>5.3120868684138484E-3</v>
      </c>
      <c r="Q65" s="490">
        <f>$D$31</f>
        <v>1.7606502644787157E-3</v>
      </c>
      <c r="R65" s="70">
        <f t="shared" ref="R65" si="45">O65/P65</f>
        <v>0.11388493369865246</v>
      </c>
      <c r="S65" s="70">
        <f t="shared" si="44"/>
        <v>0.34360410640094324</v>
      </c>
      <c r="T65" s="431">
        <f>_xlfn.IFS((O65&lt;='Infill Capacities'!$CW$19),(O65*'Infill Capacities'!$CR$19*'Infill Capacities'!$CQ$9),(AND((O65&gt;'Infill Capacities'!$CW$19),(O65&lt;='Infill Capacities'!$CX$19))),((O65-'Infill Capacities'!$CW$19)*'Infill Capacities'!$CQ$9*('Infill Capacities'!$CS$19)+'Infill Capacities'!$CM$19),(AND((O65&gt;'Infill Capacities'!$CX$19),(O65&lt;='Infill Capacities'!$CY$19))),((O65-'Infill Capacities'!$CX$19)*'Infill Capacities'!$CQ$9*('Infill Capacities'!$CT$19)+'Infill Capacities'!$CN$19),(AND((O65&gt;'Infill Capacities'!$CY$19),(O65&lt;='Infill Capacities'!$CZ$19))),((O65-'Infill Capacities'!$CY$19)*'Infill Capacities'!$CQ$9*('Infill Capacities'!$CU$19)+'Infill Capacities'!$CP$19))+_xlfn.IFS((O65&lt;='Frame Capacities'!$BO$19),(O65*'Frame Capacities'!$BH$9*'Frame Capacities'!$BI$19),(AND((O65&gt;'Frame Capacities'!$BO$19),(O65&lt;='Frame Capacities'!$BP$19))),((O65-'Frame Capacities'!$BO$19)*'Frame Capacities'!$BH$9*('Frame Capacities'!$BJ$19)+'Frame Capacities'!$BC$19),(AND((O65&gt;'Frame Capacities'!$BP$19),(O65&lt;='Frame Capacities'!$BQ$19))),((O65-'Frame Capacities'!$BP$19)*'Frame Capacities'!$BH$9*('Frame Capacities'!$BK$19)+'Frame Capacities'!$BD$19),(AND((O65&gt;'Frame Capacities'!$BQ$19),(O65&lt;='Frame Capacities'!$BR$19))),((O65-'Frame Capacities'!$BQ$19)*'Frame Capacities'!$BH$9*('Frame Capacities'!$BL$19)+'Frame Capacities'!$BE$19))</f>
        <v>99.99999227978364</v>
      </c>
      <c r="U65" s="431">
        <f>U64+T65*K65</f>
        <v>1238.4251946875524</v>
      </c>
      <c r="V65" s="495"/>
      <c r="X65" s="69">
        <v>1</v>
      </c>
      <c r="Y65" s="70">
        <f>'Structural Information'!$Z$11</f>
        <v>40.367000000000004</v>
      </c>
      <c r="Z65" s="70">
        <f t="shared" si="40"/>
        <v>6.7156895291610591E-2</v>
      </c>
      <c r="AA65" s="70">
        <f t="shared" si="41"/>
        <v>0.18468146205192912</v>
      </c>
      <c r="AB65" s="68" t="s">
        <v>382</v>
      </c>
    </row>
    <row r="66" spans="10:28" x14ac:dyDescent="0.25">
      <c r="X66" s="496"/>
      <c r="Y66" s="68" t="s">
        <v>95</v>
      </c>
      <c r="Z66" s="497">
        <f>SUM(Z60:Z65)</f>
        <v>1.3806947246626657</v>
      </c>
      <c r="AA66" s="497">
        <f>SUM(AA60:AA65)</f>
        <v>17.098871541857882</v>
      </c>
      <c r="AB66" s="430">
        <f>2*PI()*SQRT(AB64/AB62)</f>
        <v>0.83852635202767545</v>
      </c>
    </row>
    <row r="67" spans="10:28" x14ac:dyDescent="0.25">
      <c r="R67" s="512"/>
      <c r="S67" s="512"/>
    </row>
    <row r="68" spans="10:28" x14ac:dyDescent="0.25">
      <c r="J68" s="956" t="s">
        <v>299</v>
      </c>
      <c r="K68" s="957"/>
      <c r="L68" s="957"/>
      <c r="M68" s="957"/>
      <c r="N68" s="957"/>
      <c r="O68" s="957"/>
      <c r="P68" s="957"/>
      <c r="Q68" s="957"/>
      <c r="R68" s="957"/>
      <c r="S68" s="957"/>
      <c r="T68" s="957"/>
      <c r="U68" s="957"/>
      <c r="V68" s="958"/>
      <c r="W68" s="511"/>
      <c r="X68" s="923" t="s">
        <v>124</v>
      </c>
      <c r="Y68" s="923"/>
      <c r="Z68" s="923"/>
      <c r="AA68" s="923"/>
      <c r="AB68" s="923"/>
    </row>
    <row r="69" spans="10:28" ht="15" customHeight="1" x14ac:dyDescent="0.25">
      <c r="J69" s="590" t="s">
        <v>9</v>
      </c>
      <c r="K69" s="588" t="s">
        <v>3</v>
      </c>
      <c r="L69" s="588" t="s">
        <v>89</v>
      </c>
      <c r="M69" s="590" t="s">
        <v>91</v>
      </c>
      <c r="N69" s="590" t="s">
        <v>98</v>
      </c>
      <c r="O69" s="588" t="s">
        <v>119</v>
      </c>
      <c r="P69" s="588" t="s">
        <v>286</v>
      </c>
      <c r="Q69" s="588" t="s">
        <v>287</v>
      </c>
      <c r="R69" s="590" t="s">
        <v>457</v>
      </c>
      <c r="S69" s="590" t="s">
        <v>458</v>
      </c>
      <c r="T69" s="590" t="s">
        <v>92</v>
      </c>
      <c r="U69" s="588" t="s">
        <v>120</v>
      </c>
      <c r="V69" s="590" t="s">
        <v>96</v>
      </c>
      <c r="X69" s="590" t="s">
        <v>9</v>
      </c>
      <c r="Y69" s="924" t="s">
        <v>93</v>
      </c>
      <c r="Z69" s="924" t="s">
        <v>94</v>
      </c>
      <c r="AA69" s="924" t="s">
        <v>122</v>
      </c>
      <c r="AB69" s="588" t="s">
        <v>123</v>
      </c>
    </row>
    <row r="70" spans="10:28" x14ac:dyDescent="0.25">
      <c r="J70" s="590"/>
      <c r="K70" s="588"/>
      <c r="L70" s="588"/>
      <c r="M70" s="590"/>
      <c r="N70" s="590"/>
      <c r="O70" s="588"/>
      <c r="P70" s="588"/>
      <c r="Q70" s="588"/>
      <c r="R70" s="590"/>
      <c r="S70" s="590"/>
      <c r="T70" s="590"/>
      <c r="U70" s="588"/>
      <c r="V70" s="590"/>
      <c r="X70" s="590"/>
      <c r="Y70" s="924"/>
      <c r="Z70" s="924"/>
      <c r="AA70" s="924"/>
      <c r="AB70" s="588"/>
    </row>
    <row r="71" spans="10:28" x14ac:dyDescent="0.25">
      <c r="J71" s="489">
        <v>6</v>
      </c>
      <c r="K71" s="431">
        <f>'Structural Information'!$U$6</f>
        <v>3</v>
      </c>
      <c r="L71" s="431">
        <f>L72+K71</f>
        <v>17.75</v>
      </c>
      <c r="M71" s="490">
        <f>'Yield Mechanism'!$X$57</f>
        <v>8.8706729885236167E-3</v>
      </c>
      <c r="N71" s="71">
        <f>M71-M72</f>
        <v>6.7920838535619546E-4</v>
      </c>
      <c r="O71" s="491">
        <f t="shared" ref="O71:O76" si="46">N71/K71</f>
        <v>2.2640279511873182E-4</v>
      </c>
      <c r="P71" s="490">
        <f>$C$26</f>
        <v>8.3119145368492249E-3</v>
      </c>
      <c r="Q71" s="490">
        <f>$D$26</f>
        <v>2.2387978504494433E-3</v>
      </c>
      <c r="R71" s="70">
        <f>O71/P71</f>
        <v>2.7238344922222182E-2</v>
      </c>
      <c r="S71" s="70">
        <f>O71/Q71</f>
        <v>0.10112694858684136</v>
      </c>
      <c r="T71" s="431">
        <f>_xlfn.IFS((O71&lt;='Infill Capacities'!$CW$14),(O71*'Infill Capacities'!$CR$14*'Infill Capacities'!$CQ$4),(AND((O71&gt;'Infill Capacities'!$CW$14),(O71&lt;='Infill Capacities'!$CX$14))),((O71-'Infill Capacities'!$CW$14)*'Infill Capacities'!$CQ$4*('Infill Capacities'!$CS$14)+'Infill Capacities'!$CM$14),(AND((O71&gt;'Infill Capacities'!$CX$14),(O71&lt;='Infill Capacities'!$CY$14))),((O71-'Infill Capacities'!$CX$14)*'Infill Capacities'!$CQ$4*('Infill Capacities'!$CT$14)+'Infill Capacities'!$CN$14),(AND((O71&gt;'Infill Capacities'!$CY$14),(O71&lt;='Infill Capacities'!$CZ$14))),((O71-'Infill Capacities'!$CY$14)*'Infill Capacities'!$CQ$4*('Infill Capacities'!$CU$14)+'Infill Capacities'!$CP$14))+_xlfn.IFS((O71&lt;='Frame Capacities'!$BO$14),(O71*'Frame Capacities'!$BH$4*'Frame Capacities'!$BI$14),(AND((O71&gt;'Frame Capacities'!$BO$14),(O71&lt;='Frame Capacities'!$BP$14))),((O71-'Frame Capacities'!$BO$14)*'Frame Capacities'!$BH$4*('Frame Capacities'!$BJ$14)+'Frame Capacities'!$BC$14),(AND((O71&gt;'Frame Capacities'!$BP$14),(O71&lt;='Frame Capacities'!$BQ$14))),((O71-'Frame Capacities'!$BP$14)*'Frame Capacities'!$BH$4*('Frame Capacities'!$BK$14)+'Frame Capacities'!$BD$14),(AND((O71&gt;'Frame Capacities'!$BQ$14),(O71&lt;='Frame Capacities'!$BR$14))),((O71-'Frame Capacities'!$BQ$14)*'Frame Capacities'!$BH$4*('Frame Capacities'!$BL$14)+'Frame Capacities'!$BE$14))</f>
        <v>24.314358638495708</v>
      </c>
      <c r="U71" s="431">
        <f>K71*T71</f>
        <v>72.943075915487128</v>
      </c>
      <c r="V71" s="70">
        <f>U76/AB71</f>
        <v>99.999998772354672</v>
      </c>
      <c r="X71" s="69">
        <v>6</v>
      </c>
      <c r="Y71" s="70">
        <f>'Structural Information'!$Z$6</f>
        <v>37.8446</v>
      </c>
      <c r="Z71" s="70">
        <f t="shared" ref="Z71:Z76" si="47">Y71*M71</f>
        <v>0.33570707098148084</v>
      </c>
      <c r="AA71" s="70">
        <f t="shared" ref="AA71:AA76" si="48">Z71*L71</f>
        <v>5.9588005099212848</v>
      </c>
      <c r="AB71" s="70">
        <f>AA77/Z77</f>
        <v>12.384252098910217</v>
      </c>
    </row>
    <row r="72" spans="10:28" x14ac:dyDescent="0.25">
      <c r="J72" s="489">
        <v>5</v>
      </c>
      <c r="K72" s="431">
        <f>'Structural Information'!$U$7</f>
        <v>3</v>
      </c>
      <c r="L72" s="431">
        <f>L73+K72</f>
        <v>14.75</v>
      </c>
      <c r="M72" s="490">
        <f>'Yield Mechanism'!$X$58</f>
        <v>8.1914646031674213E-3</v>
      </c>
      <c r="N72" s="71">
        <f>M72-M73</f>
        <v>1.1731887339810039E-3</v>
      </c>
      <c r="O72" s="491">
        <f t="shared" si="46"/>
        <v>3.9106291132700129E-4</v>
      </c>
      <c r="P72" s="490">
        <f>$C$27</f>
        <v>9.597600000000003E-3</v>
      </c>
      <c r="Q72" s="490">
        <f>$D$27</f>
        <v>1.92360761471166E-3</v>
      </c>
      <c r="R72" s="70">
        <f t="shared" ref="R72:R74" si="49">O72/P72</f>
        <v>4.0745906406497577E-2</v>
      </c>
      <c r="S72" s="70">
        <f t="shared" ref="S72:S73" si="50">O72/Q72</f>
        <v>0.20329661222807119</v>
      </c>
      <c r="T72" s="431">
        <f>_xlfn.IFS((O72&lt;='Infill Capacities'!$CW$15),(O72*'Infill Capacities'!$CR$15*'Infill Capacities'!$CQ$5),(AND((O72&gt;'Infill Capacities'!$CW$15),(O72&lt;='Infill Capacities'!$CX$15))),((O72-'Infill Capacities'!$CW$15)*'Infill Capacities'!$CQ$5*('Infill Capacities'!$CS$15)+'Infill Capacities'!$CM$15),(AND((O72&gt;'Infill Capacities'!$CX$15),(O72&lt;='Infill Capacities'!$CY$15))),((O72-'Infill Capacities'!$CX$15)*'Infill Capacities'!$CQ$5*('Infill Capacities'!$CT$15)+'Infill Capacities'!$CN$15),(AND((O72&gt;'Infill Capacities'!$CY$15),(O72&lt;='Infill Capacities'!$CZ$15))),((O72-'Infill Capacities'!$CY$15)*'Infill Capacities'!$CQ$5*('Infill Capacities'!$CU$15)+'Infill Capacities'!$CP$15))+_xlfn.IFS((O72&lt;='Frame Capacities'!$BO$15),(O72*'Frame Capacities'!$BH$5*'Frame Capacities'!$BI$15),(AND((O72&gt;'Frame Capacities'!$BO$15),(O72&lt;='Frame Capacities'!$BP$15))),((O72-'Frame Capacities'!$BO$15)*'Frame Capacities'!$BH$5*('Frame Capacities'!$BJ$15)+'Frame Capacities'!$BC$15),(AND((O72&gt;'Frame Capacities'!$BP$15),(O72&lt;='Frame Capacities'!$BQ$15))),((O72-'Frame Capacities'!$BP$15)*'Frame Capacities'!$BH$5*('Frame Capacities'!$BK$15)+'Frame Capacities'!$BD$15),(AND((O72&gt;'Frame Capacities'!$BQ$15),(O72&lt;='Frame Capacities'!$BR$15))),((O72-'Frame Capacities'!$BQ$15)*'Frame Capacities'!$BH$5*('Frame Capacities'!$BL$15)+'Frame Capacities'!$BE$15))</f>
        <v>48.263523243971207</v>
      </c>
      <c r="U72" s="431">
        <f>U71+T72*K72</f>
        <v>217.73364564740075</v>
      </c>
      <c r="V72" s="492"/>
      <c r="X72" s="69">
        <v>5</v>
      </c>
      <c r="Y72" s="70">
        <f>'Structural Information'!$Z$7</f>
        <v>40.367000000000004</v>
      </c>
      <c r="Z72" s="70">
        <f t="shared" si="47"/>
        <v>0.33066485163605935</v>
      </c>
      <c r="AA72" s="70">
        <f t="shared" si="48"/>
        <v>4.8773065616318751</v>
      </c>
      <c r="AB72" s="68" t="s">
        <v>381</v>
      </c>
    </row>
    <row r="73" spans="10:28" x14ac:dyDescent="0.25">
      <c r="J73" s="489">
        <v>4</v>
      </c>
      <c r="K73" s="431">
        <f>'Structural Information'!$U$8</f>
        <v>3</v>
      </c>
      <c r="L73" s="431">
        <f>L74+K73</f>
        <v>11.75</v>
      </c>
      <c r="M73" s="490">
        <f>'Yield Mechanism'!$X$59</f>
        <v>7.0182758691864173E-3</v>
      </c>
      <c r="N73" s="491">
        <f>M73-M74</f>
        <v>1.5927336164272138E-3</v>
      </c>
      <c r="O73" s="491">
        <f t="shared" si="46"/>
        <v>5.3091120547573789E-4</v>
      </c>
      <c r="P73" s="490">
        <f>$C$28</f>
        <v>9.015519176800749E-3</v>
      </c>
      <c r="Q73" s="490">
        <f>$D$28</f>
        <v>1.852250472241956E-3</v>
      </c>
      <c r="R73" s="70">
        <f t="shared" si="49"/>
        <v>5.8888589227552093E-2</v>
      </c>
      <c r="S73" s="70">
        <f t="shared" si="50"/>
        <v>0.28663035233735168</v>
      </c>
      <c r="T73" s="431">
        <f>_xlfn.IFS((O73&lt;='Infill Capacities'!$CW$16),(O73*'Infill Capacities'!$CR$16*'Infill Capacities'!$CQ$6),(AND((O73&gt;'Infill Capacities'!$CW$16),(O73&lt;='Infill Capacities'!$CX$16))),((O73-'Infill Capacities'!$CW$16)*'Infill Capacities'!$CQ$6*('Infill Capacities'!$CS$16)+'Infill Capacities'!$CM$16),(AND((O73&gt;'Infill Capacities'!$CX$16),(O73&lt;='Infill Capacities'!$CY$16))),((O73-'Infill Capacities'!$CX$16)*'Infill Capacities'!$CQ$6*('Infill Capacities'!$CT$16)+'Infill Capacities'!$CN$16),(AND((O73&gt;'Infill Capacities'!$CY$16),(O73&lt;='Infill Capacities'!$CZ$16))),((O73-'Infill Capacities'!$CY$16)*'Infill Capacities'!$CQ$6*('Infill Capacities'!$CU$16)+'Infill Capacities'!$CP$16))+_xlfn.IFS((O73&lt;='Frame Capacities'!$BO$16),(O73*'Frame Capacities'!$BH$6*'Frame Capacities'!$BI$16),(AND((O73&gt;'Frame Capacities'!$BO$16),(O73&lt;='Frame Capacities'!$BP$16))),((O73-'Frame Capacities'!$BO$16)*'Frame Capacities'!$BH$6*('Frame Capacities'!$BJ$16)+'Frame Capacities'!$BC$16),(AND((O73&gt;'Frame Capacities'!$BP$16),(O73&lt;='Frame Capacities'!$BQ$16))),((O73-'Frame Capacities'!$BP$16)*'Frame Capacities'!$BH$6*('Frame Capacities'!$BK$16)+'Frame Capacities'!$BD$16),(AND((O73&gt;'Frame Capacities'!$BQ$16),(O73&lt;='Frame Capacities'!$BR$16))),((O73-'Frame Capacities'!$BQ$16)*'Frame Capacities'!$BH$6*('Frame Capacities'!$BL$16)+'Frame Capacities'!$BE$16))</f>
        <v>68.782667375673356</v>
      </c>
      <c r="U73" s="431">
        <f>U72+T73*K73</f>
        <v>424.08164777442084</v>
      </c>
      <c r="V73" s="493" t="s">
        <v>130</v>
      </c>
      <c r="X73" s="69">
        <v>4</v>
      </c>
      <c r="Y73" s="70">
        <f>'Structural Information'!$Z$8</f>
        <v>40.367000000000004</v>
      </c>
      <c r="Z73" s="70">
        <f t="shared" si="47"/>
        <v>0.28330674201144812</v>
      </c>
      <c r="AA73" s="70">
        <f t="shared" si="48"/>
        <v>3.3288542186345156</v>
      </c>
      <c r="AB73" s="430">
        <f>T76/M71</f>
        <v>11273.100970936261</v>
      </c>
    </row>
    <row r="74" spans="10:28" x14ac:dyDescent="0.25">
      <c r="J74" s="489">
        <v>3</v>
      </c>
      <c r="K74" s="431">
        <f>'Structural Information'!$U$9</f>
        <v>3</v>
      </c>
      <c r="L74" s="431">
        <f>L75+K74</f>
        <v>8.75</v>
      </c>
      <c r="M74" s="490">
        <f>'Yield Mechanism'!$X$60</f>
        <v>5.4255422527592035E-3</v>
      </c>
      <c r="N74" s="71">
        <f>M74-M75</f>
        <v>1.83730679743837E-3</v>
      </c>
      <c r="O74" s="491">
        <f t="shared" si="46"/>
        <v>6.1243559914612338E-4</v>
      </c>
      <c r="P74" s="490">
        <f>$C$29</f>
        <v>8.5822017391304368E-3</v>
      </c>
      <c r="Q74" s="490">
        <f>$D$29</f>
        <v>1.7915672005543457E-3</v>
      </c>
      <c r="R74" s="431">
        <f t="shared" si="49"/>
        <v>7.1361128270118757E-2</v>
      </c>
      <c r="S74" s="70">
        <f>O74/Q74</f>
        <v>0.34184349822692889</v>
      </c>
      <c r="T74" s="431">
        <f>_xlfn.IFS((O74&lt;='Infill Capacities'!$CW$17),(O74*'Infill Capacities'!$CR$17*'Infill Capacities'!$CQ$7),(AND((O74&gt;'Infill Capacities'!$CW$17),(O74&lt;='Infill Capacities'!$CX$17))),((O74-'Infill Capacities'!$CW$17)*'Infill Capacities'!$CQ$7*('Infill Capacities'!$CS$17)+'Infill Capacities'!$CM$17),(AND((O74&gt;'Infill Capacities'!$CX$17),(O74&lt;='Infill Capacities'!$CY$17))),((O74-'Infill Capacities'!$CX$17)*'Infill Capacities'!$CQ$7*('Infill Capacities'!$CT$17)+'Infill Capacities'!$CN$17),(AND((O74&gt;'Infill Capacities'!$CY$17),(O74&lt;='Infill Capacities'!$CZ$17))),((O74-'Infill Capacities'!$CY$17)*'Infill Capacities'!$CQ$7*('Infill Capacities'!$CU$17)+'Infill Capacities'!$CP$17))+_xlfn.IFS((O74&lt;='Frame Capacities'!$BO$17),(O74*'Frame Capacities'!$BH$7*'Frame Capacities'!$BI$17),(AND((O74&gt;'Frame Capacities'!$BO$17),(O74&lt;='Frame Capacities'!$BP$17))),((O74-'Frame Capacities'!$BO$17)*'Frame Capacities'!$BH$7*('Frame Capacities'!$BJ$17)+'Frame Capacities'!$BC$17),(AND((O74&gt;'Frame Capacities'!$BP$17),(O74&lt;='Frame Capacities'!$BQ$17))),((O74-'Frame Capacities'!$BP$17)*'Frame Capacities'!$BH$7*('Frame Capacities'!$BK$17)+'Frame Capacities'!$BD$17),(AND((O74&gt;'Frame Capacities'!$BQ$17),(O74&lt;='Frame Capacities'!$BR$17))),((O74-'Frame Capacities'!$BQ$17)*'Frame Capacities'!$BH$7*('Frame Capacities'!$BL$17)+'Frame Capacities'!$BE$17))</f>
        <v>84.645179741290264</v>
      </c>
      <c r="U74" s="431">
        <f>U73+T74*K74</f>
        <v>678.01718699829166</v>
      </c>
      <c r="V74" s="494">
        <v>0</v>
      </c>
      <c r="X74" s="69">
        <v>3</v>
      </c>
      <c r="Y74" s="70">
        <f>'Structural Information'!$Z$9</f>
        <v>40.367000000000004</v>
      </c>
      <c r="Z74" s="70">
        <f t="shared" si="47"/>
        <v>0.21901286411713081</v>
      </c>
      <c r="AA74" s="70">
        <f t="shared" si="48"/>
        <v>1.9163625610248947</v>
      </c>
      <c r="AB74" s="351" t="s">
        <v>383</v>
      </c>
    </row>
    <row r="75" spans="10:28" x14ac:dyDescent="0.25">
      <c r="J75" s="489">
        <v>2</v>
      </c>
      <c r="K75" s="431">
        <f>'Structural Information'!$U$10</f>
        <v>3</v>
      </c>
      <c r="L75" s="431">
        <f>L76+K75</f>
        <v>5.75</v>
      </c>
      <c r="M75" s="490">
        <f>'Yield Mechanism'!$X$61</f>
        <v>3.5882354553208335E-3</v>
      </c>
      <c r="N75" s="71">
        <f>M75-M76</f>
        <v>1.9245771380911512E-3</v>
      </c>
      <c r="O75" s="491">
        <f t="shared" si="46"/>
        <v>6.4152571269705035E-4</v>
      </c>
      <c r="P75" s="490">
        <f>$C$30</f>
        <v>6.7523273096129852E-3</v>
      </c>
      <c r="Q75" s="490">
        <f>$D$30</f>
        <v>1.7342707198796904E-3</v>
      </c>
      <c r="R75" s="70">
        <f>O75/P75</f>
        <v>9.5008088808689564E-2</v>
      </c>
      <c r="S75" s="70">
        <f t="shared" ref="S75:S76" si="51">O75/Q75</f>
        <v>0.36991094028362204</v>
      </c>
      <c r="T75" s="431">
        <f>_xlfn.IFS((O75&lt;='Infill Capacities'!$CW$18),(O75*'Infill Capacities'!$CR$18*'Infill Capacities'!$CQ$8),(AND((O75&gt;'Infill Capacities'!$CW$18),(O75&lt;='Infill Capacities'!$CX$18))),((O75-'Infill Capacities'!$CW$18)*'Infill Capacities'!$CQ$8*('Infill Capacities'!$CS$18)+'Infill Capacities'!$CM$18),(AND((O75&gt;'Infill Capacities'!$CX$18),(O75&lt;='Infill Capacities'!$CY$18))),((O75-'Infill Capacities'!$CX$18)*'Infill Capacities'!$CQ$8*('Infill Capacities'!$CT$18)+'Infill Capacities'!$CN$18),(AND((O75&gt;'Infill Capacities'!$CY$18),(O75&lt;='Infill Capacities'!$CZ$18))),((O75-'Infill Capacities'!$CY$18)*'Infill Capacities'!$CQ$8*('Infill Capacities'!$CU$18)+'Infill Capacities'!$CP$18))+_xlfn.IFS((O75&lt;='Frame Capacities'!$BO$18),(O75*'Frame Capacities'!$BH$8*'Frame Capacities'!$BI$18),(AND((O75&gt;'Frame Capacities'!$BO$18),(O75&lt;='Frame Capacities'!$BP$18))),((O75-'Frame Capacities'!$BO$18)*'Frame Capacities'!$BH$8*('Frame Capacities'!$BJ$18)+'Frame Capacities'!$BC$18),(AND((O75&gt;'Frame Capacities'!$BP$18),(O75&lt;='Frame Capacities'!$BQ$18))),((O75-'Frame Capacities'!$BP$18)*'Frame Capacities'!$BH$8*('Frame Capacities'!$BK$18)+'Frame Capacities'!$BD$18),(AND((O75&gt;'Frame Capacities'!$BQ$18),(O75&lt;='Frame Capacities'!$BR$18))),((O75-'Frame Capacities'!$BQ$18)*'Frame Capacities'!$BH$8*('Frame Capacities'!$BL$18)+'Frame Capacities'!$BE$18))</f>
        <v>95.136009639951936</v>
      </c>
      <c r="U75" s="431">
        <f>U74+T75*K75</f>
        <v>963.4252159181475</v>
      </c>
      <c r="V75" s="492"/>
      <c r="X75" s="69">
        <v>2</v>
      </c>
      <c r="Y75" s="70">
        <f>'Structural Information'!$Z$10</f>
        <v>40.367000000000004</v>
      </c>
      <c r="Z75" s="70">
        <f t="shared" si="47"/>
        <v>0.14484630062493611</v>
      </c>
      <c r="AA75" s="70">
        <f t="shared" si="48"/>
        <v>0.83286622859338266</v>
      </c>
      <c r="AB75" s="70">
        <f>(('Structural Information'!$Z$6*M71+'Structural Information'!$Z$7*M72+'Structural Information'!$Z$8*M73+'Structural Information'!$Z$9*M74+'Structural Information'!$Z$10*M75+'Structural Information'!$Z$11*M76)^2)/('Structural Information'!$Z$6*M71*M71+'Structural Information'!$Z$7*M72*M72+'Structural Information'!$Z$8*M73*M73+'Structural Information'!$Z$9*M74*M74+'Structural Information'!$Z$10*M75*M75+'Structural Information'!$Z$11*M76*M76)</f>
        <v>200.77844728267124</v>
      </c>
    </row>
    <row r="76" spans="10:28" x14ac:dyDescent="0.25">
      <c r="J76" s="489">
        <v>1</v>
      </c>
      <c r="K76" s="431">
        <f>'Structural Information'!$U$11</f>
        <v>2.75</v>
      </c>
      <c r="L76" s="431">
        <f>K76</f>
        <v>2.75</v>
      </c>
      <c r="M76" s="490">
        <f>'Yield Mechanism'!$X$62</f>
        <v>1.6636583172296823E-3</v>
      </c>
      <c r="N76" s="71">
        <f>M76</f>
        <v>1.6636583172296823E-3</v>
      </c>
      <c r="O76" s="491">
        <f t="shared" si="46"/>
        <v>6.0496666081079353E-4</v>
      </c>
      <c r="P76" s="490">
        <f>$C$31</f>
        <v>5.3120868684138484E-3</v>
      </c>
      <c r="Q76" s="490">
        <f>$D$31</f>
        <v>1.7606502644787157E-3</v>
      </c>
      <c r="R76" s="70">
        <f t="shared" ref="R76" si="52">O76/P76</f>
        <v>0.11388493369865246</v>
      </c>
      <c r="S76" s="70">
        <f t="shared" si="51"/>
        <v>0.34360410640094324</v>
      </c>
      <c r="T76" s="431">
        <f>_xlfn.IFS((O76&lt;='Infill Capacities'!$CW$19),(O76*'Infill Capacities'!$CR$19*'Infill Capacities'!$CQ$9),(AND((O76&gt;'Infill Capacities'!$CW$19),(O76&lt;='Infill Capacities'!$CX$19))),((O76-'Infill Capacities'!$CW$19)*'Infill Capacities'!$CQ$9*('Infill Capacities'!$CS$19)+'Infill Capacities'!$CM$19),(AND((O76&gt;'Infill Capacities'!$CX$19),(O76&lt;='Infill Capacities'!$CY$19))),((O76-'Infill Capacities'!$CX$19)*'Infill Capacities'!$CQ$9*('Infill Capacities'!$CT$19)+'Infill Capacities'!$CN$19),(AND((O76&gt;'Infill Capacities'!$CY$19),(O76&lt;='Infill Capacities'!$CZ$19))),((O76-'Infill Capacities'!$CY$19)*'Infill Capacities'!$CQ$9*('Infill Capacities'!$CU$19)+'Infill Capacities'!$CP$19))+_xlfn.IFS((O76&lt;='Frame Capacities'!$BO$19),(O76*'Frame Capacities'!$BH$9*'Frame Capacities'!$BI$19),(AND((O76&gt;'Frame Capacities'!$BO$19),(O76&lt;='Frame Capacities'!$BP$19))),((O76-'Frame Capacities'!$BO$19)*'Frame Capacities'!$BH$9*('Frame Capacities'!$BJ$19)+'Frame Capacities'!$BC$19),(AND((O76&gt;'Frame Capacities'!$BP$19),(O76&lt;='Frame Capacities'!$BQ$19))),((O76-'Frame Capacities'!$BP$19)*'Frame Capacities'!$BH$9*('Frame Capacities'!$BK$19)+'Frame Capacities'!$BD$19),(AND((O76&gt;'Frame Capacities'!$BQ$19),(O76&lt;='Frame Capacities'!$BR$19))),((O76-'Frame Capacities'!$BQ$19)*'Frame Capacities'!$BH$9*('Frame Capacities'!$BL$19)+'Frame Capacities'!$BE$19))</f>
        <v>99.99999227978364</v>
      </c>
      <c r="U76" s="431">
        <f>U75+T76*K76</f>
        <v>1238.4251946875524</v>
      </c>
      <c r="V76" s="495"/>
      <c r="X76" s="69">
        <v>1</v>
      </c>
      <c r="Y76" s="70">
        <f>'Structural Information'!$Z$11</f>
        <v>40.367000000000004</v>
      </c>
      <c r="Z76" s="70">
        <f t="shared" si="47"/>
        <v>6.7156895291610591E-2</v>
      </c>
      <c r="AA76" s="70">
        <f t="shared" si="48"/>
        <v>0.18468146205192912</v>
      </c>
      <c r="AB76" s="68" t="s">
        <v>382</v>
      </c>
    </row>
    <row r="77" spans="10:28" x14ac:dyDescent="0.25">
      <c r="X77" s="496"/>
      <c r="Y77" s="68" t="s">
        <v>95</v>
      </c>
      <c r="Z77" s="497">
        <f>SUM(Z71:Z76)</f>
        <v>1.3806947246626657</v>
      </c>
      <c r="AA77" s="497">
        <f>SUM(AA71:AA76)</f>
        <v>17.098871541857882</v>
      </c>
      <c r="AB77" s="430">
        <f>2*PI()*SQRT(AB75/AB73)</f>
        <v>0.83852635202767545</v>
      </c>
    </row>
    <row r="78" spans="10:28" x14ac:dyDescent="0.25">
      <c r="Q78" s="56"/>
      <c r="T78" s="513"/>
    </row>
    <row r="79" spans="10:28" x14ac:dyDescent="0.25">
      <c r="J79" s="923" t="s">
        <v>300</v>
      </c>
      <c r="K79" s="923"/>
      <c r="L79" s="923"/>
      <c r="M79" s="923"/>
      <c r="N79" s="923"/>
      <c r="O79" s="923"/>
      <c r="P79" s="923"/>
      <c r="Q79" s="923"/>
      <c r="R79" s="923"/>
      <c r="S79" s="923"/>
      <c r="T79" s="923"/>
      <c r="U79" s="923"/>
      <c r="V79" s="923"/>
      <c r="W79" s="511"/>
      <c r="X79" s="923" t="s">
        <v>124</v>
      </c>
      <c r="Y79" s="923"/>
      <c r="Z79" s="923"/>
      <c r="AA79" s="923"/>
      <c r="AB79" s="923"/>
    </row>
    <row r="80" spans="10:28" ht="15" customHeight="1" x14ac:dyDescent="0.25">
      <c r="J80" s="590" t="s">
        <v>9</v>
      </c>
      <c r="K80" s="588" t="s">
        <v>3</v>
      </c>
      <c r="L80" s="588" t="s">
        <v>89</v>
      </c>
      <c r="M80" s="590" t="s">
        <v>91</v>
      </c>
      <c r="N80" s="590" t="s">
        <v>98</v>
      </c>
      <c r="O80" s="588" t="s">
        <v>119</v>
      </c>
      <c r="P80" s="588" t="s">
        <v>286</v>
      </c>
      <c r="Q80" s="588" t="s">
        <v>287</v>
      </c>
      <c r="R80" s="590" t="s">
        <v>457</v>
      </c>
      <c r="S80" s="590" t="s">
        <v>458</v>
      </c>
      <c r="T80" s="590" t="s">
        <v>92</v>
      </c>
      <c r="U80" s="588" t="s">
        <v>120</v>
      </c>
      <c r="V80" s="590" t="s">
        <v>96</v>
      </c>
      <c r="X80" s="590" t="s">
        <v>9</v>
      </c>
      <c r="Y80" s="924" t="s">
        <v>93</v>
      </c>
      <c r="Z80" s="924" t="s">
        <v>94</v>
      </c>
      <c r="AA80" s="924" t="s">
        <v>122</v>
      </c>
      <c r="AB80" s="588" t="s">
        <v>123</v>
      </c>
    </row>
    <row r="81" spans="10:28" x14ac:dyDescent="0.25">
      <c r="J81" s="590"/>
      <c r="K81" s="588"/>
      <c r="L81" s="588"/>
      <c r="M81" s="590"/>
      <c r="N81" s="590"/>
      <c r="O81" s="588"/>
      <c r="P81" s="588"/>
      <c r="Q81" s="588"/>
      <c r="R81" s="590"/>
      <c r="S81" s="590"/>
      <c r="T81" s="590"/>
      <c r="U81" s="588"/>
      <c r="V81" s="590"/>
      <c r="X81" s="590"/>
      <c r="Y81" s="924"/>
      <c r="Z81" s="924"/>
      <c r="AA81" s="924"/>
      <c r="AB81" s="588"/>
    </row>
    <row r="82" spans="10:28" ht="15" customHeight="1" x14ac:dyDescent="0.25">
      <c r="J82" s="489">
        <v>6</v>
      </c>
      <c r="K82" s="431">
        <f>'Structural Information'!$U$6</f>
        <v>3</v>
      </c>
      <c r="L82" s="431">
        <f>L83+K82</f>
        <v>17.75</v>
      </c>
      <c r="M82" s="490">
        <f>'Yield Mechanism'!$X$57</f>
        <v>8.8706729885236167E-3</v>
      </c>
      <c r="N82" s="71">
        <f>M82-M83</f>
        <v>6.7920838535619546E-4</v>
      </c>
      <c r="O82" s="491">
        <f t="shared" ref="O82:O87" si="53">N82/K82</f>
        <v>2.2640279511873182E-4</v>
      </c>
      <c r="P82" s="490">
        <f>$C$26</f>
        <v>8.3119145368492249E-3</v>
      </c>
      <c r="Q82" s="490">
        <f>$D$26</f>
        <v>2.2387978504494433E-3</v>
      </c>
      <c r="R82" s="70">
        <f>O82/P82</f>
        <v>2.7238344922222182E-2</v>
      </c>
      <c r="S82" s="70">
        <f>O82/Q82</f>
        <v>0.10112694858684136</v>
      </c>
      <c r="T82" s="431">
        <f>_xlfn.IFS((O82&lt;='Infill Capacities'!$CW$14),(O82*'Infill Capacities'!$CR$14*'Infill Capacities'!$CQ$4),(AND((O82&gt;'Infill Capacities'!$CW$14),(O82&lt;='Infill Capacities'!$CX$14))),((O82-'Infill Capacities'!$CW$14)*'Infill Capacities'!$CQ$4*('Infill Capacities'!$CS$14)+'Infill Capacities'!$CM$14),(AND((O82&gt;'Infill Capacities'!$CX$14),(O82&lt;='Infill Capacities'!$CY$14))),((O82-'Infill Capacities'!$CX$14)*'Infill Capacities'!$CQ$4*('Infill Capacities'!$CT$14)+'Infill Capacities'!$CN$14),(AND((O82&gt;'Infill Capacities'!$CY$14),(O82&lt;='Infill Capacities'!$CZ$14))),((O82-'Infill Capacities'!$CY$14)*'Infill Capacities'!$CQ$4*('Infill Capacities'!$CU$14)+'Infill Capacities'!$CP$14))+_xlfn.IFS((O82&lt;='Frame Capacities'!$BO$14),(O82*'Frame Capacities'!$BH$4*'Frame Capacities'!$BI$14),(AND((O82&gt;'Frame Capacities'!$BO$14),(O82&lt;='Frame Capacities'!$BP$14))),((O82-'Frame Capacities'!$BO$14)*'Frame Capacities'!$BH$4*('Frame Capacities'!$BJ$14)+'Frame Capacities'!$BC$14),(AND((O82&gt;'Frame Capacities'!$BP$14),(O82&lt;='Frame Capacities'!$BQ$14))),((O82-'Frame Capacities'!$BP$14)*'Frame Capacities'!$BH$4*('Frame Capacities'!$BK$14)+'Frame Capacities'!$BD$14),(AND((O82&gt;'Frame Capacities'!$BQ$14),(O82&lt;='Frame Capacities'!$BR$14))),((O82-'Frame Capacities'!$BQ$14)*'Frame Capacities'!$BH$4*('Frame Capacities'!$BL$14)+'Frame Capacities'!$BE$14))</f>
        <v>24.314358638495708</v>
      </c>
      <c r="U82" s="431">
        <f>K82*T82</f>
        <v>72.943075915487128</v>
      </c>
      <c r="V82" s="70">
        <f>U87/AB82</f>
        <v>99.999998772354672</v>
      </c>
      <c r="X82" s="69">
        <v>6</v>
      </c>
      <c r="Y82" s="70">
        <f>'Structural Information'!$Z$6</f>
        <v>37.8446</v>
      </c>
      <c r="Z82" s="70">
        <f t="shared" ref="Z82:Z87" si="54">Y82*M82</f>
        <v>0.33570707098148084</v>
      </c>
      <c r="AA82" s="70">
        <f t="shared" ref="AA82:AA87" si="55">Z82*L82</f>
        <v>5.9588005099212848</v>
      </c>
      <c r="AB82" s="70">
        <f>AA88/Z88</f>
        <v>12.384252098910217</v>
      </c>
    </row>
    <row r="83" spans="10:28" x14ac:dyDescent="0.25">
      <c r="J83" s="489">
        <v>5</v>
      </c>
      <c r="K83" s="431">
        <f>'Structural Information'!$U$7</f>
        <v>3</v>
      </c>
      <c r="L83" s="431">
        <f>L84+K83</f>
        <v>14.75</v>
      </c>
      <c r="M83" s="490">
        <f>'Yield Mechanism'!$X$58</f>
        <v>8.1914646031674213E-3</v>
      </c>
      <c r="N83" s="71">
        <f>M83-M84</f>
        <v>1.1731887339810039E-3</v>
      </c>
      <c r="O83" s="491">
        <f t="shared" si="53"/>
        <v>3.9106291132700129E-4</v>
      </c>
      <c r="P83" s="490">
        <f>$C$27</f>
        <v>9.597600000000003E-3</v>
      </c>
      <c r="Q83" s="490">
        <f>$D$27</f>
        <v>1.92360761471166E-3</v>
      </c>
      <c r="R83" s="70">
        <f t="shared" ref="R83:R85" si="56">O83/P83</f>
        <v>4.0745906406497577E-2</v>
      </c>
      <c r="S83" s="70">
        <f t="shared" ref="S83:S84" si="57">O83/Q83</f>
        <v>0.20329661222807119</v>
      </c>
      <c r="T83" s="431">
        <f>_xlfn.IFS((O83&lt;='Infill Capacities'!$CW$15),(O83*'Infill Capacities'!$CR$15*'Infill Capacities'!$CQ$5),(AND((O83&gt;'Infill Capacities'!$CW$15),(O83&lt;='Infill Capacities'!$CX$15))),((O83-'Infill Capacities'!$CW$15)*'Infill Capacities'!$CQ$5*('Infill Capacities'!$CS$15)+'Infill Capacities'!$CM$15),(AND((O83&gt;'Infill Capacities'!$CX$15),(O83&lt;='Infill Capacities'!$CY$15))),((O83-'Infill Capacities'!$CX$15)*'Infill Capacities'!$CQ$5*('Infill Capacities'!$CT$15)+'Infill Capacities'!$CN$15),(AND((O83&gt;'Infill Capacities'!$CY$15),(O83&lt;='Infill Capacities'!$CZ$15))),((O83-'Infill Capacities'!$CY$15)*'Infill Capacities'!$CQ$5*('Infill Capacities'!$CU$15)+'Infill Capacities'!$CP$15))+_xlfn.IFS((O83&lt;='Frame Capacities'!$BO$15),(O83*'Frame Capacities'!$BH$5*'Frame Capacities'!$BI$15),(AND((O83&gt;'Frame Capacities'!$BO$15),(O83&lt;='Frame Capacities'!$BP$15))),((O83-'Frame Capacities'!$BO$15)*'Frame Capacities'!$BH$5*('Frame Capacities'!$BJ$15)+'Frame Capacities'!$BC$15),(AND((O83&gt;'Frame Capacities'!$BP$15),(O83&lt;='Frame Capacities'!$BQ$15))),((O83-'Frame Capacities'!$BP$15)*'Frame Capacities'!$BH$5*('Frame Capacities'!$BK$15)+'Frame Capacities'!$BD$15),(AND((O83&gt;'Frame Capacities'!$BQ$15),(O83&lt;='Frame Capacities'!$BR$15))),((O83-'Frame Capacities'!$BQ$15)*'Frame Capacities'!$BH$5*('Frame Capacities'!$BL$15)+'Frame Capacities'!$BE$15))</f>
        <v>48.263523243971207</v>
      </c>
      <c r="U83" s="431">
        <f>U82+T83*K83</f>
        <v>217.73364564740075</v>
      </c>
      <c r="V83" s="492"/>
      <c r="X83" s="69">
        <v>5</v>
      </c>
      <c r="Y83" s="70">
        <f>'Structural Information'!$Z$7</f>
        <v>40.367000000000004</v>
      </c>
      <c r="Z83" s="70">
        <f t="shared" si="54"/>
        <v>0.33066485163605935</v>
      </c>
      <c r="AA83" s="70">
        <f t="shared" si="55"/>
        <v>4.8773065616318751</v>
      </c>
      <c r="AB83" s="68" t="s">
        <v>381</v>
      </c>
    </row>
    <row r="84" spans="10:28" ht="15" customHeight="1" x14ac:dyDescent="0.25">
      <c r="J84" s="489">
        <v>4</v>
      </c>
      <c r="K84" s="431">
        <f>'Structural Information'!$U$8</f>
        <v>3</v>
      </c>
      <c r="L84" s="431">
        <f>L85+K84</f>
        <v>11.75</v>
      </c>
      <c r="M84" s="490">
        <f>'Yield Mechanism'!$X$59</f>
        <v>7.0182758691864173E-3</v>
      </c>
      <c r="N84" s="491">
        <f>M84-M85</f>
        <v>1.5927336164272138E-3</v>
      </c>
      <c r="O84" s="491">
        <f t="shared" si="53"/>
        <v>5.3091120547573789E-4</v>
      </c>
      <c r="P84" s="490">
        <f>$C$28</f>
        <v>9.015519176800749E-3</v>
      </c>
      <c r="Q84" s="490">
        <f>$D$28</f>
        <v>1.852250472241956E-3</v>
      </c>
      <c r="R84" s="70">
        <f t="shared" si="56"/>
        <v>5.8888589227552093E-2</v>
      </c>
      <c r="S84" s="70">
        <f t="shared" si="57"/>
        <v>0.28663035233735168</v>
      </c>
      <c r="T84" s="431">
        <f>_xlfn.IFS((O84&lt;='Infill Capacities'!$CW$16),(O84*'Infill Capacities'!$CR$16*'Infill Capacities'!$CQ$6),(AND((O84&gt;'Infill Capacities'!$CW$16),(O84&lt;='Infill Capacities'!$CX$16))),((O84-'Infill Capacities'!$CW$16)*'Infill Capacities'!$CQ$6*('Infill Capacities'!$CS$16)+'Infill Capacities'!$CM$16),(AND((O84&gt;'Infill Capacities'!$CX$16),(O84&lt;='Infill Capacities'!$CY$16))),((O84-'Infill Capacities'!$CX$16)*'Infill Capacities'!$CQ$6*('Infill Capacities'!$CT$16)+'Infill Capacities'!$CN$16),(AND((O84&gt;'Infill Capacities'!$CY$16),(O84&lt;='Infill Capacities'!$CZ$16))),((O84-'Infill Capacities'!$CY$16)*'Infill Capacities'!$CQ$6*('Infill Capacities'!$CU$16)+'Infill Capacities'!$CP$16))+_xlfn.IFS((O84&lt;='Frame Capacities'!$BO$16),(O84*'Frame Capacities'!$BH$6*'Frame Capacities'!$BI$16),(AND((O84&gt;'Frame Capacities'!$BO$16),(O84&lt;='Frame Capacities'!$BP$16))),((O84-'Frame Capacities'!$BO$16)*'Frame Capacities'!$BH$6*('Frame Capacities'!$BJ$16)+'Frame Capacities'!$BC$16),(AND((O84&gt;'Frame Capacities'!$BP$16),(O84&lt;='Frame Capacities'!$BQ$16))),((O84-'Frame Capacities'!$BP$16)*'Frame Capacities'!$BH$6*('Frame Capacities'!$BK$16)+'Frame Capacities'!$BD$16),(AND((O84&gt;'Frame Capacities'!$BQ$16),(O84&lt;='Frame Capacities'!$BR$16))),((O84-'Frame Capacities'!$BQ$16)*'Frame Capacities'!$BH$6*('Frame Capacities'!$BL$16)+'Frame Capacities'!$BE$16))</f>
        <v>68.782667375673356</v>
      </c>
      <c r="U84" s="431">
        <f>U83+T84*K84</f>
        <v>424.08164777442084</v>
      </c>
      <c r="V84" s="493" t="s">
        <v>130</v>
      </c>
      <c r="X84" s="69">
        <v>4</v>
      </c>
      <c r="Y84" s="70">
        <f>'Structural Information'!$Z$8</f>
        <v>40.367000000000004</v>
      </c>
      <c r="Z84" s="70">
        <f t="shared" si="54"/>
        <v>0.28330674201144812</v>
      </c>
      <c r="AA84" s="70">
        <f t="shared" si="55"/>
        <v>3.3288542186345156</v>
      </c>
      <c r="AB84" s="430">
        <f>T87/M82</f>
        <v>11273.100970936261</v>
      </c>
    </row>
    <row r="85" spans="10:28" x14ac:dyDescent="0.25">
      <c r="J85" s="489">
        <v>3</v>
      </c>
      <c r="K85" s="431">
        <f>'Structural Information'!$U$9</f>
        <v>3</v>
      </c>
      <c r="L85" s="431">
        <f>L86+K85</f>
        <v>8.75</v>
      </c>
      <c r="M85" s="490">
        <f>'Yield Mechanism'!$X$60</f>
        <v>5.4255422527592035E-3</v>
      </c>
      <c r="N85" s="71">
        <f>M85-M86</f>
        <v>1.83730679743837E-3</v>
      </c>
      <c r="O85" s="491">
        <f t="shared" si="53"/>
        <v>6.1243559914612338E-4</v>
      </c>
      <c r="P85" s="490">
        <f>$C$29</f>
        <v>8.5822017391304368E-3</v>
      </c>
      <c r="Q85" s="490">
        <f>$D$29</f>
        <v>1.7915672005543457E-3</v>
      </c>
      <c r="R85" s="431">
        <f t="shared" si="56"/>
        <v>7.1361128270118757E-2</v>
      </c>
      <c r="S85" s="70">
        <f>O85/Q85</f>
        <v>0.34184349822692889</v>
      </c>
      <c r="T85" s="431">
        <f>_xlfn.IFS((O85&lt;='Infill Capacities'!$CW$17),(O85*'Infill Capacities'!$CR$17*'Infill Capacities'!$CQ$7),(AND((O85&gt;'Infill Capacities'!$CW$17),(O85&lt;='Infill Capacities'!$CX$17))),((O85-'Infill Capacities'!$CW$17)*'Infill Capacities'!$CQ$7*('Infill Capacities'!$CS$17)+'Infill Capacities'!$CM$17),(AND((O85&gt;'Infill Capacities'!$CX$17),(O85&lt;='Infill Capacities'!$CY$17))),((O85-'Infill Capacities'!$CX$17)*'Infill Capacities'!$CQ$7*('Infill Capacities'!$CT$17)+'Infill Capacities'!$CN$17),(AND((O85&gt;'Infill Capacities'!$CY$17),(O85&lt;='Infill Capacities'!$CZ$17))),((O85-'Infill Capacities'!$CY$17)*'Infill Capacities'!$CQ$7*('Infill Capacities'!$CU$17)+'Infill Capacities'!$CP$17))+_xlfn.IFS((O85&lt;='Frame Capacities'!$BO$17),(O85*'Frame Capacities'!$BH$7*'Frame Capacities'!$BI$17),(AND((O85&gt;'Frame Capacities'!$BO$17),(O85&lt;='Frame Capacities'!$BP$17))),((O85-'Frame Capacities'!$BO$17)*'Frame Capacities'!$BH$7*('Frame Capacities'!$BJ$17)+'Frame Capacities'!$BC$17),(AND((O85&gt;'Frame Capacities'!$BP$17),(O85&lt;='Frame Capacities'!$BQ$17))),((O85-'Frame Capacities'!$BP$17)*'Frame Capacities'!$BH$7*('Frame Capacities'!$BK$17)+'Frame Capacities'!$BD$17),(AND((O85&gt;'Frame Capacities'!$BQ$17),(O85&lt;='Frame Capacities'!$BR$17))),((O85-'Frame Capacities'!$BQ$17)*'Frame Capacities'!$BH$7*('Frame Capacities'!$BL$17)+'Frame Capacities'!$BE$17))</f>
        <v>84.645179741290264</v>
      </c>
      <c r="U85" s="431">
        <f>U84+T85*K85</f>
        <v>678.01718699829166</v>
      </c>
      <c r="V85" s="494">
        <v>0</v>
      </c>
      <c r="X85" s="69">
        <v>3</v>
      </c>
      <c r="Y85" s="70">
        <f>'Structural Information'!$Z$9</f>
        <v>40.367000000000004</v>
      </c>
      <c r="Z85" s="70">
        <f t="shared" si="54"/>
        <v>0.21901286411713081</v>
      </c>
      <c r="AA85" s="70">
        <f t="shared" si="55"/>
        <v>1.9163625610248947</v>
      </c>
      <c r="AB85" s="351" t="s">
        <v>383</v>
      </c>
    </row>
    <row r="86" spans="10:28" x14ac:dyDescent="0.25">
      <c r="J86" s="489">
        <v>2</v>
      </c>
      <c r="K86" s="431">
        <f>'Structural Information'!$U$10</f>
        <v>3</v>
      </c>
      <c r="L86" s="431">
        <f>L87+K86</f>
        <v>5.75</v>
      </c>
      <c r="M86" s="490">
        <f>'Yield Mechanism'!$X$61</f>
        <v>3.5882354553208335E-3</v>
      </c>
      <c r="N86" s="71">
        <f>M86-M87</f>
        <v>1.9245771380911512E-3</v>
      </c>
      <c r="O86" s="491">
        <f t="shared" si="53"/>
        <v>6.4152571269705035E-4</v>
      </c>
      <c r="P86" s="490">
        <f>$C$30</f>
        <v>6.7523273096129852E-3</v>
      </c>
      <c r="Q86" s="490">
        <f>$D$30</f>
        <v>1.7342707198796904E-3</v>
      </c>
      <c r="R86" s="70">
        <f>O86/P86</f>
        <v>9.5008088808689564E-2</v>
      </c>
      <c r="S86" s="70">
        <f t="shared" ref="S86:S87" si="58">O86/Q86</f>
        <v>0.36991094028362204</v>
      </c>
      <c r="T86" s="431">
        <f>_xlfn.IFS((O86&lt;='Infill Capacities'!$CW$18),(O86*'Infill Capacities'!$CR$18*'Infill Capacities'!$CQ$8),(AND((O86&gt;'Infill Capacities'!$CW$18),(O86&lt;='Infill Capacities'!$CX$18))),((O86-'Infill Capacities'!$CW$18)*'Infill Capacities'!$CQ$8*('Infill Capacities'!$CS$18)+'Infill Capacities'!$CM$18),(AND((O86&gt;'Infill Capacities'!$CX$18),(O86&lt;='Infill Capacities'!$CY$18))),((O86-'Infill Capacities'!$CX$18)*'Infill Capacities'!$CQ$8*('Infill Capacities'!$CT$18)+'Infill Capacities'!$CN$18),(AND((O86&gt;'Infill Capacities'!$CY$18),(O86&lt;='Infill Capacities'!$CZ$18))),((O86-'Infill Capacities'!$CY$18)*'Infill Capacities'!$CQ$8*('Infill Capacities'!$CU$18)+'Infill Capacities'!$CP$18))+_xlfn.IFS((O86&lt;='Frame Capacities'!$BO$18),(O86*'Frame Capacities'!$BH$8*'Frame Capacities'!$BI$18),(AND((O86&gt;'Frame Capacities'!$BO$18),(O86&lt;='Frame Capacities'!$BP$18))),((O86-'Frame Capacities'!$BO$18)*'Frame Capacities'!$BH$8*('Frame Capacities'!$BJ$18)+'Frame Capacities'!$BC$18),(AND((O86&gt;'Frame Capacities'!$BP$18),(O86&lt;='Frame Capacities'!$BQ$18))),((O86-'Frame Capacities'!$BP$18)*'Frame Capacities'!$BH$8*('Frame Capacities'!$BK$18)+'Frame Capacities'!$BD$18),(AND((O86&gt;'Frame Capacities'!$BQ$18),(O86&lt;='Frame Capacities'!$BR$18))),((O86-'Frame Capacities'!$BQ$18)*'Frame Capacities'!$BH$8*('Frame Capacities'!$BL$18)+'Frame Capacities'!$BE$18))</f>
        <v>95.136009639951936</v>
      </c>
      <c r="U86" s="431">
        <f>U85+T86*K86</f>
        <v>963.4252159181475</v>
      </c>
      <c r="V86" s="492"/>
      <c r="X86" s="69">
        <v>2</v>
      </c>
      <c r="Y86" s="70">
        <f>'Structural Information'!$Z$10</f>
        <v>40.367000000000004</v>
      </c>
      <c r="Z86" s="70">
        <f t="shared" si="54"/>
        <v>0.14484630062493611</v>
      </c>
      <c r="AA86" s="70">
        <f t="shared" si="55"/>
        <v>0.83286622859338266</v>
      </c>
      <c r="AB86" s="70">
        <f>(('Structural Information'!$Z$6*M82+'Structural Information'!$Z$7*M83+'Structural Information'!$Z$8*M84+'Structural Information'!$Z$9*M85+'Structural Information'!$Z$10*M86+'Structural Information'!$Z$11*M87)^2)/('Structural Information'!$Z$6*M82*M82+'Structural Information'!$Z$7*M83*M83+'Structural Information'!$Z$8*M84*M84+'Structural Information'!$Z$9*M85*M85+'Structural Information'!$Z$10*M86*M86+'Structural Information'!$Z$11*M87*M87)</f>
        <v>200.77844728267124</v>
      </c>
    </row>
    <row r="87" spans="10:28" x14ac:dyDescent="0.25">
      <c r="J87" s="489">
        <v>1</v>
      </c>
      <c r="K87" s="431">
        <f>'Structural Information'!$U$11</f>
        <v>2.75</v>
      </c>
      <c r="L87" s="431">
        <f>K87</f>
        <v>2.75</v>
      </c>
      <c r="M87" s="490">
        <f>'Yield Mechanism'!$X$62</f>
        <v>1.6636583172296823E-3</v>
      </c>
      <c r="N87" s="71">
        <f>M87</f>
        <v>1.6636583172296823E-3</v>
      </c>
      <c r="O87" s="491">
        <f t="shared" si="53"/>
        <v>6.0496666081079353E-4</v>
      </c>
      <c r="P87" s="490">
        <f>$C$31</f>
        <v>5.3120868684138484E-3</v>
      </c>
      <c r="Q87" s="490">
        <f>$D$31</f>
        <v>1.7606502644787157E-3</v>
      </c>
      <c r="R87" s="70">
        <f t="shared" ref="R87" si="59">O87/P87</f>
        <v>0.11388493369865246</v>
      </c>
      <c r="S87" s="70">
        <f t="shared" si="58"/>
        <v>0.34360410640094324</v>
      </c>
      <c r="T87" s="431">
        <f>_xlfn.IFS((O87&lt;='Infill Capacities'!$CW$19),(O87*'Infill Capacities'!$CR$19*'Infill Capacities'!$CQ$9),(AND((O87&gt;'Infill Capacities'!$CW$19),(O87&lt;='Infill Capacities'!$CX$19))),((O87-'Infill Capacities'!$CW$19)*'Infill Capacities'!$CQ$9*('Infill Capacities'!$CS$19)+'Infill Capacities'!$CM$19),(AND((O87&gt;'Infill Capacities'!$CX$19),(O87&lt;='Infill Capacities'!$CY$19))),((O87-'Infill Capacities'!$CX$19)*'Infill Capacities'!$CQ$9*('Infill Capacities'!$CT$19)+'Infill Capacities'!$CN$19),(AND((O87&gt;'Infill Capacities'!$CY$19),(O87&lt;='Infill Capacities'!$CZ$19))),((O87-'Infill Capacities'!$CY$19)*'Infill Capacities'!$CQ$9*('Infill Capacities'!$CU$19)+'Infill Capacities'!$CP$19))+_xlfn.IFS((O87&lt;='Frame Capacities'!$BO$19),(O87*'Frame Capacities'!$BH$9*'Frame Capacities'!$BI$19),(AND((O87&gt;'Frame Capacities'!$BO$19),(O87&lt;='Frame Capacities'!$BP$19))),((O87-'Frame Capacities'!$BO$19)*'Frame Capacities'!$BH$9*('Frame Capacities'!$BJ$19)+'Frame Capacities'!$BC$19),(AND((O87&gt;'Frame Capacities'!$BP$19),(O87&lt;='Frame Capacities'!$BQ$19))),((O87-'Frame Capacities'!$BP$19)*'Frame Capacities'!$BH$9*('Frame Capacities'!$BK$19)+'Frame Capacities'!$BD$19),(AND((O87&gt;'Frame Capacities'!$BQ$19),(O87&lt;='Frame Capacities'!$BR$19))),((O87-'Frame Capacities'!$BQ$19)*'Frame Capacities'!$BH$9*('Frame Capacities'!$BL$19)+'Frame Capacities'!$BE$19))</f>
        <v>99.99999227978364</v>
      </c>
      <c r="U87" s="431">
        <f>U86+T87*K87</f>
        <v>1238.4251946875524</v>
      </c>
      <c r="V87" s="495"/>
      <c r="X87" s="69">
        <v>1</v>
      </c>
      <c r="Y87" s="70">
        <f>'Structural Information'!$Z$11</f>
        <v>40.367000000000004</v>
      </c>
      <c r="Z87" s="70">
        <f t="shared" si="54"/>
        <v>6.7156895291610591E-2</v>
      </c>
      <c r="AA87" s="70">
        <f t="shared" si="55"/>
        <v>0.18468146205192912</v>
      </c>
      <c r="AB87" s="68" t="s">
        <v>382</v>
      </c>
    </row>
    <row r="88" spans="10:28" x14ac:dyDescent="0.25">
      <c r="X88" s="496"/>
      <c r="Y88" s="68" t="s">
        <v>95</v>
      </c>
      <c r="Z88" s="497">
        <f>SUM(Z82:Z87)</f>
        <v>1.3806947246626657</v>
      </c>
      <c r="AA88" s="497">
        <f>SUM(AA82:AA87)</f>
        <v>17.098871541857882</v>
      </c>
      <c r="AB88" s="430">
        <f>2*PI()*SQRT(AB86/AB84)</f>
        <v>0.83852635202767545</v>
      </c>
    </row>
    <row r="89" spans="10:28" x14ac:dyDescent="0.25">
      <c r="S89" s="56"/>
    </row>
    <row r="90" spans="10:28" x14ac:dyDescent="0.25">
      <c r="J90" s="923" t="s">
        <v>301</v>
      </c>
      <c r="K90" s="923"/>
      <c r="L90" s="923"/>
      <c r="M90" s="923"/>
      <c r="N90" s="923"/>
      <c r="O90" s="923"/>
      <c r="P90" s="923"/>
      <c r="Q90" s="923"/>
      <c r="R90" s="923"/>
      <c r="S90" s="923"/>
      <c r="T90" s="923"/>
      <c r="U90" s="923"/>
      <c r="V90" s="923"/>
      <c r="W90" s="511"/>
      <c r="X90" s="923" t="s">
        <v>124</v>
      </c>
      <c r="Y90" s="923"/>
      <c r="Z90" s="923"/>
      <c r="AA90" s="923"/>
      <c r="AB90" s="923"/>
    </row>
    <row r="91" spans="10:28" ht="15" customHeight="1" x14ac:dyDescent="0.25">
      <c r="J91" s="590" t="s">
        <v>9</v>
      </c>
      <c r="K91" s="588" t="s">
        <v>3</v>
      </c>
      <c r="L91" s="588" t="s">
        <v>89</v>
      </c>
      <c r="M91" s="590" t="s">
        <v>91</v>
      </c>
      <c r="N91" s="590" t="s">
        <v>98</v>
      </c>
      <c r="O91" s="588" t="s">
        <v>119</v>
      </c>
      <c r="P91" s="588" t="s">
        <v>286</v>
      </c>
      <c r="Q91" s="588" t="s">
        <v>287</v>
      </c>
      <c r="R91" s="590" t="s">
        <v>457</v>
      </c>
      <c r="S91" s="590" t="s">
        <v>458</v>
      </c>
      <c r="T91" s="590" t="s">
        <v>92</v>
      </c>
      <c r="U91" s="588" t="s">
        <v>120</v>
      </c>
      <c r="V91" s="590" t="s">
        <v>96</v>
      </c>
      <c r="X91" s="590" t="s">
        <v>9</v>
      </c>
      <c r="Y91" s="924" t="s">
        <v>93</v>
      </c>
      <c r="Z91" s="924" t="s">
        <v>94</v>
      </c>
      <c r="AA91" s="924" t="s">
        <v>122</v>
      </c>
      <c r="AB91" s="588" t="s">
        <v>123</v>
      </c>
    </row>
    <row r="92" spans="10:28" x14ac:dyDescent="0.25">
      <c r="J92" s="590"/>
      <c r="K92" s="588"/>
      <c r="L92" s="588"/>
      <c r="M92" s="590"/>
      <c r="N92" s="590"/>
      <c r="O92" s="588"/>
      <c r="P92" s="588"/>
      <c r="Q92" s="588"/>
      <c r="R92" s="590"/>
      <c r="S92" s="590"/>
      <c r="T92" s="590"/>
      <c r="U92" s="588"/>
      <c r="V92" s="590"/>
      <c r="X92" s="590"/>
      <c r="Y92" s="924"/>
      <c r="Z92" s="924"/>
      <c r="AA92" s="924"/>
      <c r="AB92" s="588"/>
    </row>
    <row r="93" spans="10:28" x14ac:dyDescent="0.25">
      <c r="J93" s="489">
        <v>6</v>
      </c>
      <c r="K93" s="431">
        <f>'Structural Information'!$U$6</f>
        <v>3</v>
      </c>
      <c r="L93" s="431">
        <f>L94+K93</f>
        <v>17.75</v>
      </c>
      <c r="M93" s="490">
        <f>'Yield Mechanism'!$X$57</f>
        <v>8.8706729885236167E-3</v>
      </c>
      <c r="N93" s="71">
        <f>M93-M94</f>
        <v>6.7920838535619546E-4</v>
      </c>
      <c r="O93" s="491">
        <f t="shared" ref="O93:O98" si="60">N93/K93</f>
        <v>2.2640279511873182E-4</v>
      </c>
      <c r="P93" s="490">
        <f>$C$26</f>
        <v>8.3119145368492249E-3</v>
      </c>
      <c r="Q93" s="490">
        <f>$D$26</f>
        <v>2.2387978504494433E-3</v>
      </c>
      <c r="R93" s="70">
        <f>O93/P93</f>
        <v>2.7238344922222182E-2</v>
      </c>
      <c r="S93" s="70">
        <f>O93/Q93</f>
        <v>0.10112694858684136</v>
      </c>
      <c r="T93" s="431">
        <f>_xlfn.IFS((O93&lt;='Infill Capacities'!$CW$14),(O93*'Infill Capacities'!$CR$14*'Infill Capacities'!$CQ$4),(AND((O93&gt;'Infill Capacities'!$CW$14),(O93&lt;='Infill Capacities'!$CX$14))),((O93-'Infill Capacities'!$CW$14)*'Infill Capacities'!$CQ$4*('Infill Capacities'!$CS$14)+'Infill Capacities'!$CM$14),(AND((O93&gt;'Infill Capacities'!$CX$14),(O93&lt;='Infill Capacities'!$CY$14))),((O93-'Infill Capacities'!$CX$14)*'Infill Capacities'!$CQ$4*('Infill Capacities'!$CT$14)+'Infill Capacities'!$CN$14),(AND((O93&gt;'Infill Capacities'!$CY$14),(O93&lt;='Infill Capacities'!$CZ$14))),((O93-'Infill Capacities'!$CY$14)*'Infill Capacities'!$CQ$4*('Infill Capacities'!$CU$14)+'Infill Capacities'!$CP$14))+_xlfn.IFS((O93&lt;='Frame Capacities'!$BO$14),(O93*'Frame Capacities'!$BH$4*'Frame Capacities'!$BI$14),(AND((O93&gt;'Frame Capacities'!$BO$14),(O93&lt;='Frame Capacities'!$BP$14))),((O93-'Frame Capacities'!$BO$14)*'Frame Capacities'!$BH$4*('Frame Capacities'!$BJ$14)+'Frame Capacities'!$BC$14),(AND((O93&gt;'Frame Capacities'!$BP$14),(O93&lt;='Frame Capacities'!$BQ$14))),((O93-'Frame Capacities'!$BP$14)*'Frame Capacities'!$BH$4*('Frame Capacities'!$BK$14)+'Frame Capacities'!$BD$14),(AND((O93&gt;'Frame Capacities'!$BQ$14),(O93&lt;='Frame Capacities'!$BR$14))),((O93-'Frame Capacities'!$BQ$14)*'Frame Capacities'!$BH$4*('Frame Capacities'!$BL$14)+'Frame Capacities'!$BE$14))</f>
        <v>24.314358638495708</v>
      </c>
      <c r="U93" s="431">
        <f>K93*T93</f>
        <v>72.943075915487128</v>
      </c>
      <c r="V93" s="70">
        <f>U98/AB93</f>
        <v>99.999998772354672</v>
      </c>
      <c r="X93" s="69">
        <v>6</v>
      </c>
      <c r="Y93" s="70">
        <f>'Structural Information'!$Z$6</f>
        <v>37.8446</v>
      </c>
      <c r="Z93" s="70">
        <f t="shared" ref="Z93:Z98" si="61">Y93*M93</f>
        <v>0.33570707098148084</v>
      </c>
      <c r="AA93" s="70">
        <f t="shared" ref="AA93:AA98" si="62">Z93*L93</f>
        <v>5.9588005099212848</v>
      </c>
      <c r="AB93" s="70">
        <f>AA99/Z99</f>
        <v>12.384252098910217</v>
      </c>
    </row>
    <row r="94" spans="10:28" x14ac:dyDescent="0.25">
      <c r="J94" s="489">
        <v>5</v>
      </c>
      <c r="K94" s="431">
        <f>'Structural Information'!$U$7</f>
        <v>3</v>
      </c>
      <c r="L94" s="431">
        <f>L95+K94</f>
        <v>14.75</v>
      </c>
      <c r="M94" s="490">
        <f>'Yield Mechanism'!$X$58</f>
        <v>8.1914646031674213E-3</v>
      </c>
      <c r="N94" s="71">
        <f>M94-M95</f>
        <v>1.1731887339810039E-3</v>
      </c>
      <c r="O94" s="491">
        <f t="shared" si="60"/>
        <v>3.9106291132700129E-4</v>
      </c>
      <c r="P94" s="490">
        <f>$C$27</f>
        <v>9.597600000000003E-3</v>
      </c>
      <c r="Q94" s="490">
        <f>$D$27</f>
        <v>1.92360761471166E-3</v>
      </c>
      <c r="R94" s="70">
        <f t="shared" ref="R94:R96" si="63">O94/P94</f>
        <v>4.0745906406497577E-2</v>
      </c>
      <c r="S94" s="70">
        <f t="shared" ref="S94:S95" si="64">O94/Q94</f>
        <v>0.20329661222807119</v>
      </c>
      <c r="T94" s="431">
        <f>_xlfn.IFS((O94&lt;='Infill Capacities'!$CW$15),(O94*'Infill Capacities'!$CR$15*'Infill Capacities'!$CQ$5),(AND((O94&gt;'Infill Capacities'!$CW$15),(O94&lt;='Infill Capacities'!$CX$15))),((O94-'Infill Capacities'!$CW$15)*'Infill Capacities'!$CQ$5*('Infill Capacities'!$CS$15)+'Infill Capacities'!$CM$15),(AND((O94&gt;'Infill Capacities'!$CX$15),(O94&lt;='Infill Capacities'!$CY$15))),((O94-'Infill Capacities'!$CX$15)*'Infill Capacities'!$CQ$5*('Infill Capacities'!$CT$15)+'Infill Capacities'!$CN$15),(AND((O94&gt;'Infill Capacities'!$CY$15),(O94&lt;='Infill Capacities'!$CZ$15))),((O94-'Infill Capacities'!$CY$15)*'Infill Capacities'!$CQ$5*('Infill Capacities'!$CU$15)+'Infill Capacities'!$CP$15))+_xlfn.IFS((O94&lt;='Frame Capacities'!$BO$15),(O94*'Frame Capacities'!$BH$5*'Frame Capacities'!$BI$15),(AND((O94&gt;'Frame Capacities'!$BO$15),(O94&lt;='Frame Capacities'!$BP$15))),((O94-'Frame Capacities'!$BO$15)*'Frame Capacities'!$BH$5*('Frame Capacities'!$BJ$15)+'Frame Capacities'!$BC$15),(AND((O94&gt;'Frame Capacities'!$BP$15),(O94&lt;='Frame Capacities'!$BQ$15))),((O94-'Frame Capacities'!$BP$15)*'Frame Capacities'!$BH$5*('Frame Capacities'!$BK$15)+'Frame Capacities'!$BD$15),(AND((O94&gt;'Frame Capacities'!$BQ$15),(O94&lt;='Frame Capacities'!$BR$15))),((O94-'Frame Capacities'!$BQ$15)*'Frame Capacities'!$BH$5*('Frame Capacities'!$BL$15)+'Frame Capacities'!$BE$15))</f>
        <v>48.263523243971207</v>
      </c>
      <c r="U94" s="431">
        <f>U93+T94*K94</f>
        <v>217.73364564740075</v>
      </c>
      <c r="V94" s="492"/>
      <c r="X94" s="69">
        <v>5</v>
      </c>
      <c r="Y94" s="70">
        <f>'Structural Information'!$Z$7</f>
        <v>40.367000000000004</v>
      </c>
      <c r="Z94" s="70">
        <f t="shared" si="61"/>
        <v>0.33066485163605935</v>
      </c>
      <c r="AA94" s="70">
        <f t="shared" si="62"/>
        <v>4.8773065616318751</v>
      </c>
      <c r="AB94" s="68" t="s">
        <v>381</v>
      </c>
    </row>
    <row r="95" spans="10:28" ht="15" customHeight="1" x14ac:dyDescent="0.25">
      <c r="J95" s="489">
        <v>4</v>
      </c>
      <c r="K95" s="431">
        <f>'Structural Information'!$U$8</f>
        <v>3</v>
      </c>
      <c r="L95" s="431">
        <f>L96+K95</f>
        <v>11.75</v>
      </c>
      <c r="M95" s="490">
        <f>'Yield Mechanism'!$X$59</f>
        <v>7.0182758691864173E-3</v>
      </c>
      <c r="N95" s="491">
        <f>M95-M96</f>
        <v>1.5927336164272138E-3</v>
      </c>
      <c r="O95" s="491">
        <f t="shared" si="60"/>
        <v>5.3091120547573789E-4</v>
      </c>
      <c r="P95" s="490">
        <f>$C$28</f>
        <v>9.015519176800749E-3</v>
      </c>
      <c r="Q95" s="490">
        <f>$D$28</f>
        <v>1.852250472241956E-3</v>
      </c>
      <c r="R95" s="70">
        <f t="shared" si="63"/>
        <v>5.8888589227552093E-2</v>
      </c>
      <c r="S95" s="70">
        <f t="shared" si="64"/>
        <v>0.28663035233735168</v>
      </c>
      <c r="T95" s="431">
        <f>_xlfn.IFS((O95&lt;='Infill Capacities'!$CW$16),(O95*'Infill Capacities'!$CR$16*'Infill Capacities'!$CQ$6),(AND((O95&gt;'Infill Capacities'!$CW$16),(O95&lt;='Infill Capacities'!$CX$16))),((O95-'Infill Capacities'!$CW$16)*'Infill Capacities'!$CQ$6*('Infill Capacities'!$CS$16)+'Infill Capacities'!$CM$16),(AND((O95&gt;'Infill Capacities'!$CX$16),(O95&lt;='Infill Capacities'!$CY$16))),((O95-'Infill Capacities'!$CX$16)*'Infill Capacities'!$CQ$6*('Infill Capacities'!$CT$16)+'Infill Capacities'!$CN$16),(AND((O95&gt;'Infill Capacities'!$CY$16),(O95&lt;='Infill Capacities'!$CZ$16))),((O95-'Infill Capacities'!$CY$16)*'Infill Capacities'!$CQ$6*('Infill Capacities'!$CU$16)+'Infill Capacities'!$CP$16))+_xlfn.IFS((O95&lt;='Frame Capacities'!$BO$16),(O95*'Frame Capacities'!$BH$6*'Frame Capacities'!$BI$16),(AND((O95&gt;'Frame Capacities'!$BO$16),(O95&lt;='Frame Capacities'!$BP$16))),((O95-'Frame Capacities'!$BO$16)*'Frame Capacities'!$BH$6*('Frame Capacities'!$BJ$16)+'Frame Capacities'!$BC$16),(AND((O95&gt;'Frame Capacities'!$BP$16),(O95&lt;='Frame Capacities'!$BQ$16))),((O95-'Frame Capacities'!$BP$16)*'Frame Capacities'!$BH$6*('Frame Capacities'!$BK$16)+'Frame Capacities'!$BD$16),(AND((O95&gt;'Frame Capacities'!$BQ$16),(O95&lt;='Frame Capacities'!$BR$16))),((O95-'Frame Capacities'!$BQ$16)*'Frame Capacities'!$BH$6*('Frame Capacities'!$BL$16)+'Frame Capacities'!$BE$16))</f>
        <v>68.782667375673356</v>
      </c>
      <c r="U95" s="431">
        <f>U94+T95*K95</f>
        <v>424.08164777442084</v>
      </c>
      <c r="V95" s="493" t="s">
        <v>130</v>
      </c>
      <c r="X95" s="69">
        <v>4</v>
      </c>
      <c r="Y95" s="70">
        <f>'Structural Information'!$Z$8</f>
        <v>40.367000000000004</v>
      </c>
      <c r="Z95" s="70">
        <f t="shared" si="61"/>
        <v>0.28330674201144812</v>
      </c>
      <c r="AA95" s="70">
        <f t="shared" si="62"/>
        <v>3.3288542186345156</v>
      </c>
      <c r="AB95" s="430">
        <f>T98/M93</f>
        <v>11273.100970936261</v>
      </c>
    </row>
    <row r="96" spans="10:28" x14ac:dyDescent="0.25">
      <c r="J96" s="489">
        <v>3</v>
      </c>
      <c r="K96" s="431">
        <f>'Structural Information'!$U$9</f>
        <v>3</v>
      </c>
      <c r="L96" s="431">
        <f>L97+K96</f>
        <v>8.75</v>
      </c>
      <c r="M96" s="490">
        <f>'Yield Mechanism'!$X$60</f>
        <v>5.4255422527592035E-3</v>
      </c>
      <c r="N96" s="71">
        <f>M96-M97</f>
        <v>1.83730679743837E-3</v>
      </c>
      <c r="O96" s="491">
        <f t="shared" si="60"/>
        <v>6.1243559914612338E-4</v>
      </c>
      <c r="P96" s="490">
        <f>$C$29</f>
        <v>8.5822017391304368E-3</v>
      </c>
      <c r="Q96" s="490">
        <f>$D$29</f>
        <v>1.7915672005543457E-3</v>
      </c>
      <c r="R96" s="431">
        <f t="shared" si="63"/>
        <v>7.1361128270118757E-2</v>
      </c>
      <c r="S96" s="70">
        <f>O96/Q96</f>
        <v>0.34184349822692889</v>
      </c>
      <c r="T96" s="431">
        <f>_xlfn.IFS((O96&lt;='Infill Capacities'!$CW$17),(O96*'Infill Capacities'!$CR$17*'Infill Capacities'!$CQ$7),(AND((O96&gt;'Infill Capacities'!$CW$17),(O96&lt;='Infill Capacities'!$CX$17))),((O96-'Infill Capacities'!$CW$17)*'Infill Capacities'!$CQ$7*('Infill Capacities'!$CS$17)+'Infill Capacities'!$CM$17),(AND((O96&gt;'Infill Capacities'!$CX$17),(O96&lt;='Infill Capacities'!$CY$17))),((O96-'Infill Capacities'!$CX$17)*'Infill Capacities'!$CQ$7*('Infill Capacities'!$CT$17)+'Infill Capacities'!$CN$17),(AND((O96&gt;'Infill Capacities'!$CY$17),(O96&lt;='Infill Capacities'!$CZ$17))),((O96-'Infill Capacities'!$CY$17)*'Infill Capacities'!$CQ$7*('Infill Capacities'!$CU$17)+'Infill Capacities'!$CP$17))+_xlfn.IFS((O96&lt;='Frame Capacities'!$BO$17),(O96*'Frame Capacities'!$BH$7*'Frame Capacities'!$BI$17),(AND((O96&gt;'Frame Capacities'!$BO$17),(O96&lt;='Frame Capacities'!$BP$17))),((O96-'Frame Capacities'!$BO$17)*'Frame Capacities'!$BH$7*('Frame Capacities'!$BJ$17)+'Frame Capacities'!$BC$17),(AND((O96&gt;'Frame Capacities'!$BP$17),(O96&lt;='Frame Capacities'!$BQ$17))),((O96-'Frame Capacities'!$BP$17)*'Frame Capacities'!$BH$7*('Frame Capacities'!$BK$17)+'Frame Capacities'!$BD$17),(AND((O96&gt;'Frame Capacities'!$BQ$17),(O96&lt;='Frame Capacities'!$BR$17))),((O96-'Frame Capacities'!$BQ$17)*'Frame Capacities'!$BH$7*('Frame Capacities'!$BL$17)+'Frame Capacities'!$BE$17))</f>
        <v>84.645179741290264</v>
      </c>
      <c r="U96" s="431">
        <f>U95+T96*K96</f>
        <v>678.01718699829166</v>
      </c>
      <c r="V96" s="494">
        <v>0</v>
      </c>
      <c r="X96" s="69">
        <v>3</v>
      </c>
      <c r="Y96" s="70">
        <f>'Structural Information'!$Z$9</f>
        <v>40.367000000000004</v>
      </c>
      <c r="Z96" s="70">
        <f t="shared" si="61"/>
        <v>0.21901286411713081</v>
      </c>
      <c r="AA96" s="70">
        <f t="shared" si="62"/>
        <v>1.9163625610248947</v>
      </c>
      <c r="AB96" s="351" t="s">
        <v>383</v>
      </c>
    </row>
    <row r="97" spans="9:28" x14ac:dyDescent="0.25">
      <c r="J97" s="489">
        <v>2</v>
      </c>
      <c r="K97" s="431">
        <f>'Structural Information'!$U$10</f>
        <v>3</v>
      </c>
      <c r="L97" s="431">
        <f>L98+K97</f>
        <v>5.75</v>
      </c>
      <c r="M97" s="490">
        <f>'Yield Mechanism'!$X$61</f>
        <v>3.5882354553208335E-3</v>
      </c>
      <c r="N97" s="71">
        <f>M97-M98</f>
        <v>1.9245771380911512E-3</v>
      </c>
      <c r="O97" s="491">
        <f t="shared" si="60"/>
        <v>6.4152571269705035E-4</v>
      </c>
      <c r="P97" s="490">
        <f>$C$30</f>
        <v>6.7523273096129852E-3</v>
      </c>
      <c r="Q97" s="490">
        <f>$D$30</f>
        <v>1.7342707198796904E-3</v>
      </c>
      <c r="R97" s="70">
        <f>O97/P97</f>
        <v>9.5008088808689564E-2</v>
      </c>
      <c r="S97" s="70">
        <f t="shared" ref="S97:S98" si="65">O97/Q97</f>
        <v>0.36991094028362204</v>
      </c>
      <c r="T97" s="431">
        <f>_xlfn.IFS((O97&lt;='Infill Capacities'!$CW$18),(O97*'Infill Capacities'!$CR$18*'Infill Capacities'!$CQ$8),(AND((O97&gt;'Infill Capacities'!$CW$18),(O97&lt;='Infill Capacities'!$CX$18))),((O97-'Infill Capacities'!$CW$18)*'Infill Capacities'!$CQ$8*('Infill Capacities'!$CS$18)+'Infill Capacities'!$CM$18),(AND((O97&gt;'Infill Capacities'!$CX$18),(O97&lt;='Infill Capacities'!$CY$18))),((O97-'Infill Capacities'!$CX$18)*'Infill Capacities'!$CQ$8*('Infill Capacities'!$CT$18)+'Infill Capacities'!$CN$18),(AND((O97&gt;'Infill Capacities'!$CY$18),(O97&lt;='Infill Capacities'!$CZ$18))),((O97-'Infill Capacities'!$CY$18)*'Infill Capacities'!$CQ$8*('Infill Capacities'!$CU$18)+'Infill Capacities'!$CP$18))+_xlfn.IFS((O97&lt;='Frame Capacities'!$BO$18),(O97*'Frame Capacities'!$BH$8*'Frame Capacities'!$BI$18),(AND((O97&gt;'Frame Capacities'!$BO$18),(O97&lt;='Frame Capacities'!$BP$18))),((O97-'Frame Capacities'!$BO$18)*'Frame Capacities'!$BH$8*('Frame Capacities'!$BJ$18)+'Frame Capacities'!$BC$18),(AND((O97&gt;'Frame Capacities'!$BP$18),(O97&lt;='Frame Capacities'!$BQ$18))),((O97-'Frame Capacities'!$BP$18)*'Frame Capacities'!$BH$8*('Frame Capacities'!$BK$18)+'Frame Capacities'!$BD$18),(AND((O97&gt;'Frame Capacities'!$BQ$18),(O97&lt;='Frame Capacities'!$BR$18))),((O97-'Frame Capacities'!$BQ$18)*'Frame Capacities'!$BH$8*('Frame Capacities'!$BL$18)+'Frame Capacities'!$BE$18))</f>
        <v>95.136009639951936</v>
      </c>
      <c r="U97" s="431">
        <f>U96+T97*K97</f>
        <v>963.4252159181475</v>
      </c>
      <c r="V97" s="492"/>
      <c r="X97" s="69">
        <v>2</v>
      </c>
      <c r="Y97" s="70">
        <f>'Structural Information'!$Z$10</f>
        <v>40.367000000000004</v>
      </c>
      <c r="Z97" s="70">
        <f t="shared" si="61"/>
        <v>0.14484630062493611</v>
      </c>
      <c r="AA97" s="70">
        <f t="shared" si="62"/>
        <v>0.83286622859338266</v>
      </c>
      <c r="AB97" s="70">
        <f>(('Structural Information'!$Z$6*M93+'Structural Information'!$Z$7*M94+'Structural Information'!$Z$8*M95+'Structural Information'!$Z$9*M96+'Structural Information'!$Z$10*M97+'Structural Information'!$Z$11*M98)^2)/('Structural Information'!$Z$6*M93*M93+'Structural Information'!$Z$7*M94*M94+'Structural Information'!$Z$8*M95*M95+'Structural Information'!$Z$9*M96*M96+'Structural Information'!$Z$10*M97*M97+'Structural Information'!$Z$11*M98*M98)</f>
        <v>200.77844728267124</v>
      </c>
    </row>
    <row r="98" spans="9:28" x14ac:dyDescent="0.25">
      <c r="J98" s="489">
        <v>1</v>
      </c>
      <c r="K98" s="431">
        <f>'Structural Information'!$U$11</f>
        <v>2.75</v>
      </c>
      <c r="L98" s="431">
        <f>K98</f>
        <v>2.75</v>
      </c>
      <c r="M98" s="490">
        <f>'Yield Mechanism'!$X$62</f>
        <v>1.6636583172296823E-3</v>
      </c>
      <c r="N98" s="71">
        <f>M98</f>
        <v>1.6636583172296823E-3</v>
      </c>
      <c r="O98" s="491">
        <f t="shared" si="60"/>
        <v>6.0496666081079353E-4</v>
      </c>
      <c r="P98" s="490">
        <f>$C$31</f>
        <v>5.3120868684138484E-3</v>
      </c>
      <c r="Q98" s="490">
        <f>$D$31</f>
        <v>1.7606502644787157E-3</v>
      </c>
      <c r="R98" s="70">
        <f t="shared" ref="R98" si="66">O98/P98</f>
        <v>0.11388493369865246</v>
      </c>
      <c r="S98" s="70">
        <f t="shared" si="65"/>
        <v>0.34360410640094324</v>
      </c>
      <c r="T98" s="431">
        <f>_xlfn.IFS((O98&lt;='Infill Capacities'!$CW$19),(O98*'Infill Capacities'!$CR$19*'Infill Capacities'!$CQ$9),(AND((O98&gt;'Infill Capacities'!$CW$19),(O98&lt;='Infill Capacities'!$CX$19))),((O98-'Infill Capacities'!$CW$19)*'Infill Capacities'!$CQ$9*('Infill Capacities'!$CS$19)+'Infill Capacities'!$CM$19),(AND((O98&gt;'Infill Capacities'!$CX$19),(O98&lt;='Infill Capacities'!$CY$19))),((O98-'Infill Capacities'!$CX$19)*'Infill Capacities'!$CQ$9*('Infill Capacities'!$CT$19)+'Infill Capacities'!$CN$19),(AND((O98&gt;'Infill Capacities'!$CY$19),(O98&lt;='Infill Capacities'!$CZ$19))),((O98-'Infill Capacities'!$CY$19)*'Infill Capacities'!$CQ$9*('Infill Capacities'!$CU$19)+'Infill Capacities'!$CP$19))+_xlfn.IFS((O98&lt;='Frame Capacities'!$BO$19),(O98*'Frame Capacities'!$BH$9*'Frame Capacities'!$BI$19),(AND((O98&gt;'Frame Capacities'!$BO$19),(O98&lt;='Frame Capacities'!$BP$19))),((O98-'Frame Capacities'!$BO$19)*'Frame Capacities'!$BH$9*('Frame Capacities'!$BJ$19)+'Frame Capacities'!$BC$19),(AND((O98&gt;'Frame Capacities'!$BP$19),(O98&lt;='Frame Capacities'!$BQ$19))),((O98-'Frame Capacities'!$BP$19)*'Frame Capacities'!$BH$9*('Frame Capacities'!$BK$19)+'Frame Capacities'!$BD$19),(AND((O98&gt;'Frame Capacities'!$BQ$19),(O98&lt;='Frame Capacities'!$BR$19))),((O98-'Frame Capacities'!$BQ$19)*'Frame Capacities'!$BH$9*('Frame Capacities'!$BL$19)+'Frame Capacities'!$BE$19))</f>
        <v>99.99999227978364</v>
      </c>
      <c r="U98" s="431">
        <f>U97+T98*K98</f>
        <v>1238.4251946875524</v>
      </c>
      <c r="V98" s="495"/>
      <c r="X98" s="69">
        <v>1</v>
      </c>
      <c r="Y98" s="70">
        <f>'Structural Information'!$Z$11</f>
        <v>40.367000000000004</v>
      </c>
      <c r="Z98" s="70">
        <f t="shared" si="61"/>
        <v>6.7156895291610591E-2</v>
      </c>
      <c r="AA98" s="70">
        <f t="shared" si="62"/>
        <v>0.18468146205192912</v>
      </c>
      <c r="AB98" s="68" t="s">
        <v>382</v>
      </c>
    </row>
    <row r="99" spans="9:28" x14ac:dyDescent="0.25">
      <c r="X99" s="496"/>
      <c r="Y99" s="68" t="s">
        <v>95</v>
      </c>
      <c r="Z99" s="497">
        <f>SUM(Z93:Z98)</f>
        <v>1.3806947246626657</v>
      </c>
      <c r="AA99" s="497">
        <f>SUM(AA93:AA98)</f>
        <v>17.098871541857882</v>
      </c>
      <c r="AB99" s="430">
        <f>2*PI()*SQRT(AB97/AB95)</f>
        <v>0.83852635202767545</v>
      </c>
    </row>
    <row r="101" spans="9:28" x14ac:dyDescent="0.25">
      <c r="J101" s="923" t="s">
        <v>302</v>
      </c>
      <c r="K101" s="923"/>
      <c r="L101" s="923"/>
      <c r="M101" s="923"/>
      <c r="N101" s="923"/>
      <c r="O101" s="923"/>
      <c r="P101" s="923"/>
      <c r="Q101" s="923"/>
      <c r="R101" s="923"/>
      <c r="S101" s="923"/>
      <c r="T101" s="923"/>
      <c r="U101" s="923"/>
      <c r="V101" s="923"/>
      <c r="W101" s="511"/>
      <c r="X101" s="923" t="s">
        <v>124</v>
      </c>
      <c r="Y101" s="923"/>
      <c r="Z101" s="923"/>
      <c r="AA101" s="923"/>
      <c r="AB101" s="923"/>
    </row>
    <row r="102" spans="9:28" ht="15" customHeight="1" x14ac:dyDescent="0.25">
      <c r="J102" s="590" t="s">
        <v>9</v>
      </c>
      <c r="K102" s="588" t="s">
        <v>3</v>
      </c>
      <c r="L102" s="588" t="s">
        <v>89</v>
      </c>
      <c r="M102" s="590" t="s">
        <v>91</v>
      </c>
      <c r="N102" s="590" t="s">
        <v>98</v>
      </c>
      <c r="O102" s="588" t="s">
        <v>119</v>
      </c>
      <c r="P102" s="588" t="s">
        <v>286</v>
      </c>
      <c r="Q102" s="588" t="s">
        <v>287</v>
      </c>
      <c r="R102" s="590" t="s">
        <v>457</v>
      </c>
      <c r="S102" s="590" t="s">
        <v>458</v>
      </c>
      <c r="T102" s="590" t="s">
        <v>92</v>
      </c>
      <c r="U102" s="588" t="s">
        <v>120</v>
      </c>
      <c r="V102" s="590" t="s">
        <v>96</v>
      </c>
      <c r="X102" s="590" t="s">
        <v>9</v>
      </c>
      <c r="Y102" s="924" t="s">
        <v>93</v>
      </c>
      <c r="Z102" s="924" t="s">
        <v>94</v>
      </c>
      <c r="AA102" s="924" t="s">
        <v>122</v>
      </c>
      <c r="AB102" s="588" t="s">
        <v>123</v>
      </c>
    </row>
    <row r="103" spans="9:28" x14ac:dyDescent="0.25">
      <c r="J103" s="590"/>
      <c r="K103" s="588"/>
      <c r="L103" s="588"/>
      <c r="M103" s="590"/>
      <c r="N103" s="590"/>
      <c r="O103" s="588"/>
      <c r="P103" s="588"/>
      <c r="Q103" s="588"/>
      <c r="R103" s="590"/>
      <c r="S103" s="590"/>
      <c r="T103" s="590"/>
      <c r="U103" s="588"/>
      <c r="V103" s="590"/>
      <c r="X103" s="590"/>
      <c r="Y103" s="924"/>
      <c r="Z103" s="924"/>
      <c r="AA103" s="924"/>
      <c r="AB103" s="588"/>
    </row>
    <row r="104" spans="9:28" x14ac:dyDescent="0.25">
      <c r="J104" s="489">
        <v>6</v>
      </c>
      <c r="K104" s="431">
        <f>'Structural Information'!$U$6</f>
        <v>3</v>
      </c>
      <c r="L104" s="431">
        <f>L105+K104</f>
        <v>17.75</v>
      </c>
      <c r="M104" s="490">
        <f>'Yield Mechanism'!$X$57</f>
        <v>8.8706729885236167E-3</v>
      </c>
      <c r="N104" s="71">
        <f>M104-M105</f>
        <v>6.7920838535619546E-4</v>
      </c>
      <c r="O104" s="491">
        <f t="shared" ref="O104:O109" si="67">N104/K104</f>
        <v>2.2640279511873182E-4</v>
      </c>
      <c r="P104" s="490">
        <f>$C$26</f>
        <v>8.3119145368492249E-3</v>
      </c>
      <c r="Q104" s="490">
        <f>$D$26</f>
        <v>2.2387978504494433E-3</v>
      </c>
      <c r="R104" s="70">
        <f>O104/P104</f>
        <v>2.7238344922222182E-2</v>
      </c>
      <c r="S104" s="70">
        <f>O104/Q104</f>
        <v>0.10112694858684136</v>
      </c>
      <c r="T104" s="431">
        <f>_xlfn.IFS((O104&lt;='Infill Capacities'!$CW$14),(O104*'Infill Capacities'!$CR$14*'Infill Capacities'!$CQ$4),(AND((O104&gt;'Infill Capacities'!$CW$14),(O104&lt;='Infill Capacities'!$CX$14))),((O104-'Infill Capacities'!$CW$14)*'Infill Capacities'!$CQ$4*('Infill Capacities'!$CS$14)+'Infill Capacities'!$CM$14),(AND((O104&gt;'Infill Capacities'!$CX$14),(O104&lt;='Infill Capacities'!$CY$14))),((O104-'Infill Capacities'!$CX$14)*'Infill Capacities'!$CQ$4*('Infill Capacities'!$CT$14)+'Infill Capacities'!$CN$14),(AND((O104&gt;'Infill Capacities'!$CY$14),(O104&lt;='Infill Capacities'!$CZ$14))),((O104-'Infill Capacities'!$CY$14)*'Infill Capacities'!$CQ$4*('Infill Capacities'!$CU$14)+'Infill Capacities'!$CP$14))+_xlfn.IFS((O104&lt;='Frame Capacities'!$BO$14),(O104*'Frame Capacities'!$BH$4*'Frame Capacities'!$BI$14),(AND((O104&gt;'Frame Capacities'!$BO$14),(O104&lt;='Frame Capacities'!$BP$14))),((O104-'Frame Capacities'!$BO$14)*'Frame Capacities'!$BH$4*('Frame Capacities'!$BJ$14)+'Frame Capacities'!$BC$14),(AND((O104&gt;'Frame Capacities'!$BP$14),(O104&lt;='Frame Capacities'!$BQ$14))),((O104-'Frame Capacities'!$BP$14)*'Frame Capacities'!$BH$4*('Frame Capacities'!$BK$14)+'Frame Capacities'!$BD$14),(AND((O104&gt;'Frame Capacities'!$BQ$14),(O104&lt;='Frame Capacities'!$BR$14))),((O104-'Frame Capacities'!$BQ$14)*'Frame Capacities'!$BH$4*('Frame Capacities'!$BL$14)+'Frame Capacities'!$BE$14))</f>
        <v>24.314358638495708</v>
      </c>
      <c r="U104" s="431">
        <f>K104*T104</f>
        <v>72.943075915487128</v>
      </c>
      <c r="V104" s="70">
        <f>U109/AB104</f>
        <v>99.999998772354672</v>
      </c>
      <c r="X104" s="69">
        <v>6</v>
      </c>
      <c r="Y104" s="70">
        <f>'Structural Information'!$Z$6</f>
        <v>37.8446</v>
      </c>
      <c r="Z104" s="70">
        <f t="shared" ref="Z104:Z109" si="68">Y104*M104</f>
        <v>0.33570707098148084</v>
      </c>
      <c r="AA104" s="70">
        <f t="shared" ref="AA104:AA109" si="69">Z104*L104</f>
        <v>5.9588005099212848</v>
      </c>
      <c r="AB104" s="70">
        <f>AA110/Z110</f>
        <v>12.384252098910217</v>
      </c>
    </row>
    <row r="105" spans="9:28" x14ac:dyDescent="0.25">
      <c r="J105" s="489">
        <v>5</v>
      </c>
      <c r="K105" s="431">
        <f>'Structural Information'!$U$7</f>
        <v>3</v>
      </c>
      <c r="L105" s="431">
        <f>L106+K105</f>
        <v>14.75</v>
      </c>
      <c r="M105" s="490">
        <f>'Yield Mechanism'!$X$58</f>
        <v>8.1914646031674213E-3</v>
      </c>
      <c r="N105" s="71">
        <f>M105-M106</f>
        <v>1.1731887339810039E-3</v>
      </c>
      <c r="O105" s="491">
        <f t="shared" si="67"/>
        <v>3.9106291132700129E-4</v>
      </c>
      <c r="P105" s="490">
        <f>$C$27</f>
        <v>9.597600000000003E-3</v>
      </c>
      <c r="Q105" s="490">
        <f>$D$27</f>
        <v>1.92360761471166E-3</v>
      </c>
      <c r="R105" s="70">
        <f t="shared" ref="R105:R107" si="70">O105/P105</f>
        <v>4.0745906406497577E-2</v>
      </c>
      <c r="S105" s="70">
        <f t="shared" ref="S105:S106" si="71">O105/Q105</f>
        <v>0.20329661222807119</v>
      </c>
      <c r="T105" s="431">
        <f>_xlfn.IFS((O105&lt;='Infill Capacities'!$CW$15),(O105*'Infill Capacities'!$CR$15*'Infill Capacities'!$CQ$5),(AND((O105&gt;'Infill Capacities'!$CW$15),(O105&lt;='Infill Capacities'!$CX$15))),((O105-'Infill Capacities'!$CW$15)*'Infill Capacities'!$CQ$5*('Infill Capacities'!$CS$15)+'Infill Capacities'!$CM$15),(AND((O105&gt;'Infill Capacities'!$CX$15),(O105&lt;='Infill Capacities'!$CY$15))),((O105-'Infill Capacities'!$CX$15)*'Infill Capacities'!$CQ$5*('Infill Capacities'!$CT$15)+'Infill Capacities'!$CN$15),(AND((O105&gt;'Infill Capacities'!$CY$15),(O105&lt;='Infill Capacities'!$CZ$15))),((O105-'Infill Capacities'!$CY$15)*'Infill Capacities'!$CQ$5*('Infill Capacities'!$CU$15)+'Infill Capacities'!$CP$15))+_xlfn.IFS((O105&lt;='Frame Capacities'!$BO$15),(O105*'Frame Capacities'!$BH$5*'Frame Capacities'!$BI$15),(AND((O105&gt;'Frame Capacities'!$BO$15),(O105&lt;='Frame Capacities'!$BP$15))),((O105-'Frame Capacities'!$BO$15)*'Frame Capacities'!$BH$5*('Frame Capacities'!$BJ$15)+'Frame Capacities'!$BC$15),(AND((O105&gt;'Frame Capacities'!$BP$15),(O105&lt;='Frame Capacities'!$BQ$15))),((O105-'Frame Capacities'!$BP$15)*'Frame Capacities'!$BH$5*('Frame Capacities'!$BK$15)+'Frame Capacities'!$BD$15),(AND((O105&gt;'Frame Capacities'!$BQ$15),(O105&lt;='Frame Capacities'!$BR$15))),((O105-'Frame Capacities'!$BQ$15)*'Frame Capacities'!$BH$5*('Frame Capacities'!$BL$15)+'Frame Capacities'!$BE$15))</f>
        <v>48.263523243971207</v>
      </c>
      <c r="U105" s="431">
        <f>U104+T105*K105</f>
        <v>217.73364564740075</v>
      </c>
      <c r="V105" s="492"/>
      <c r="X105" s="69">
        <v>5</v>
      </c>
      <c r="Y105" s="70">
        <f>'Structural Information'!$Z$7</f>
        <v>40.367000000000004</v>
      </c>
      <c r="Z105" s="70">
        <f t="shared" si="68"/>
        <v>0.33066485163605935</v>
      </c>
      <c r="AA105" s="70">
        <f t="shared" si="69"/>
        <v>4.8773065616318751</v>
      </c>
      <c r="AB105" s="68" t="s">
        <v>381</v>
      </c>
    </row>
    <row r="106" spans="9:28" x14ac:dyDescent="0.25">
      <c r="I106" s="477"/>
      <c r="J106" s="489">
        <v>4</v>
      </c>
      <c r="K106" s="431">
        <f>'Structural Information'!$U$8</f>
        <v>3</v>
      </c>
      <c r="L106" s="431">
        <f>L107+K106</f>
        <v>11.75</v>
      </c>
      <c r="M106" s="490">
        <f>'Yield Mechanism'!$X$59</f>
        <v>7.0182758691864173E-3</v>
      </c>
      <c r="N106" s="491">
        <f>M106-M107</f>
        <v>1.5927336164272138E-3</v>
      </c>
      <c r="O106" s="491">
        <f t="shared" si="67"/>
        <v>5.3091120547573789E-4</v>
      </c>
      <c r="P106" s="490">
        <f>$C$28</f>
        <v>9.015519176800749E-3</v>
      </c>
      <c r="Q106" s="490">
        <f>$D$28</f>
        <v>1.852250472241956E-3</v>
      </c>
      <c r="R106" s="70">
        <f t="shared" si="70"/>
        <v>5.8888589227552093E-2</v>
      </c>
      <c r="S106" s="70">
        <f t="shared" si="71"/>
        <v>0.28663035233735168</v>
      </c>
      <c r="T106" s="431">
        <f>_xlfn.IFS((O106&lt;='Infill Capacities'!$CW$16),(O106*'Infill Capacities'!$CR$16*'Infill Capacities'!$CQ$6),(AND((O106&gt;'Infill Capacities'!$CW$16),(O106&lt;='Infill Capacities'!$CX$16))),((O106-'Infill Capacities'!$CW$16)*'Infill Capacities'!$CQ$6*('Infill Capacities'!$CS$16)+'Infill Capacities'!$CM$16),(AND((O106&gt;'Infill Capacities'!$CX$16),(O106&lt;='Infill Capacities'!$CY$16))),((O106-'Infill Capacities'!$CX$16)*'Infill Capacities'!$CQ$6*('Infill Capacities'!$CT$16)+'Infill Capacities'!$CN$16),(AND((O106&gt;'Infill Capacities'!$CY$16),(O106&lt;='Infill Capacities'!$CZ$16))),((O106-'Infill Capacities'!$CY$16)*'Infill Capacities'!$CQ$6*('Infill Capacities'!$CU$16)+'Infill Capacities'!$CP$16))+_xlfn.IFS((O106&lt;='Frame Capacities'!$BO$16),(O106*'Frame Capacities'!$BH$6*'Frame Capacities'!$BI$16),(AND((O106&gt;'Frame Capacities'!$BO$16),(O106&lt;='Frame Capacities'!$BP$16))),((O106-'Frame Capacities'!$BO$16)*'Frame Capacities'!$BH$6*('Frame Capacities'!$BJ$16)+'Frame Capacities'!$BC$16),(AND((O106&gt;'Frame Capacities'!$BP$16),(O106&lt;='Frame Capacities'!$BQ$16))),((O106-'Frame Capacities'!$BP$16)*'Frame Capacities'!$BH$6*('Frame Capacities'!$BK$16)+'Frame Capacities'!$BD$16),(AND((O106&gt;'Frame Capacities'!$BQ$16),(O106&lt;='Frame Capacities'!$BR$16))),((O106-'Frame Capacities'!$BQ$16)*'Frame Capacities'!$BH$6*('Frame Capacities'!$BL$16)+'Frame Capacities'!$BE$16))</f>
        <v>68.782667375673356</v>
      </c>
      <c r="U106" s="431">
        <f>U105+T106*K106</f>
        <v>424.08164777442084</v>
      </c>
      <c r="V106" s="493" t="s">
        <v>130</v>
      </c>
      <c r="X106" s="69">
        <v>4</v>
      </c>
      <c r="Y106" s="70">
        <f>'Structural Information'!$Z$8</f>
        <v>40.367000000000004</v>
      </c>
      <c r="Z106" s="70">
        <f t="shared" si="68"/>
        <v>0.28330674201144812</v>
      </c>
      <c r="AA106" s="70">
        <f t="shared" si="69"/>
        <v>3.3288542186345156</v>
      </c>
      <c r="AB106" s="430">
        <f>T109/M104</f>
        <v>11273.100970936261</v>
      </c>
    </row>
    <row r="107" spans="9:28" x14ac:dyDescent="0.25">
      <c r="I107" s="477"/>
      <c r="J107" s="489">
        <v>3</v>
      </c>
      <c r="K107" s="431">
        <f>'Structural Information'!$U$9</f>
        <v>3</v>
      </c>
      <c r="L107" s="431">
        <f>L108+K107</f>
        <v>8.75</v>
      </c>
      <c r="M107" s="490">
        <f>'Yield Mechanism'!$X$60</f>
        <v>5.4255422527592035E-3</v>
      </c>
      <c r="N107" s="71">
        <f>M107-M108</f>
        <v>1.83730679743837E-3</v>
      </c>
      <c r="O107" s="491">
        <f t="shared" si="67"/>
        <v>6.1243559914612338E-4</v>
      </c>
      <c r="P107" s="490">
        <f>$C$29</f>
        <v>8.5822017391304368E-3</v>
      </c>
      <c r="Q107" s="490">
        <f>$D$29</f>
        <v>1.7915672005543457E-3</v>
      </c>
      <c r="R107" s="431">
        <f t="shared" si="70"/>
        <v>7.1361128270118757E-2</v>
      </c>
      <c r="S107" s="70">
        <f>O107/Q107</f>
        <v>0.34184349822692889</v>
      </c>
      <c r="T107" s="431">
        <f>_xlfn.IFS((O107&lt;='Infill Capacities'!$CW$17),(O107*'Infill Capacities'!$CR$17*'Infill Capacities'!$CQ$7),(AND((O107&gt;'Infill Capacities'!$CW$17),(O107&lt;='Infill Capacities'!$CX$17))),((O107-'Infill Capacities'!$CW$17)*'Infill Capacities'!$CQ$7*('Infill Capacities'!$CS$17)+'Infill Capacities'!$CM$17),(AND((O107&gt;'Infill Capacities'!$CX$17),(O107&lt;='Infill Capacities'!$CY$17))),((O107-'Infill Capacities'!$CX$17)*'Infill Capacities'!$CQ$7*('Infill Capacities'!$CT$17)+'Infill Capacities'!$CN$17),(AND((O107&gt;'Infill Capacities'!$CY$17),(O107&lt;='Infill Capacities'!$CZ$17))),((O107-'Infill Capacities'!$CY$17)*'Infill Capacities'!$CQ$7*('Infill Capacities'!$CU$17)+'Infill Capacities'!$CP$17))+_xlfn.IFS((O107&lt;='Frame Capacities'!$BO$17),(O107*'Frame Capacities'!$BH$7*'Frame Capacities'!$BI$17),(AND((O107&gt;'Frame Capacities'!$BO$17),(O107&lt;='Frame Capacities'!$BP$17))),((O107-'Frame Capacities'!$BO$17)*'Frame Capacities'!$BH$7*('Frame Capacities'!$BJ$17)+'Frame Capacities'!$BC$17),(AND((O107&gt;'Frame Capacities'!$BP$17),(O107&lt;='Frame Capacities'!$BQ$17))),((O107-'Frame Capacities'!$BP$17)*'Frame Capacities'!$BH$7*('Frame Capacities'!$BK$17)+'Frame Capacities'!$BD$17),(AND((O107&gt;'Frame Capacities'!$BQ$17),(O107&lt;='Frame Capacities'!$BR$17))),((O107-'Frame Capacities'!$BQ$17)*'Frame Capacities'!$BH$7*('Frame Capacities'!$BL$17)+'Frame Capacities'!$BE$17))</f>
        <v>84.645179741290264</v>
      </c>
      <c r="U107" s="431">
        <f>U106+T107*K107</f>
        <v>678.01718699829166</v>
      </c>
      <c r="V107" s="494">
        <v>0</v>
      </c>
      <c r="X107" s="69">
        <v>3</v>
      </c>
      <c r="Y107" s="70">
        <f>'Structural Information'!$Z$9</f>
        <v>40.367000000000004</v>
      </c>
      <c r="Z107" s="70">
        <f t="shared" si="68"/>
        <v>0.21901286411713081</v>
      </c>
      <c r="AA107" s="70">
        <f t="shared" si="69"/>
        <v>1.9163625610248947</v>
      </c>
      <c r="AB107" s="351" t="s">
        <v>383</v>
      </c>
    </row>
    <row r="108" spans="9:28" x14ac:dyDescent="0.25">
      <c r="J108" s="489">
        <v>2</v>
      </c>
      <c r="K108" s="431">
        <f>'Structural Information'!$U$10</f>
        <v>3</v>
      </c>
      <c r="L108" s="431">
        <f>L109+K108</f>
        <v>5.75</v>
      </c>
      <c r="M108" s="490">
        <f>'Yield Mechanism'!$X$61</f>
        <v>3.5882354553208335E-3</v>
      </c>
      <c r="N108" s="71">
        <f>M108-M109</f>
        <v>1.9245771380911512E-3</v>
      </c>
      <c r="O108" s="491">
        <f t="shared" si="67"/>
        <v>6.4152571269705035E-4</v>
      </c>
      <c r="P108" s="490">
        <f>$C$30</f>
        <v>6.7523273096129852E-3</v>
      </c>
      <c r="Q108" s="490">
        <f>$D$30</f>
        <v>1.7342707198796904E-3</v>
      </c>
      <c r="R108" s="70">
        <f>O108/P108</f>
        <v>9.5008088808689564E-2</v>
      </c>
      <c r="S108" s="70">
        <f t="shared" ref="S108:S109" si="72">O108/Q108</f>
        <v>0.36991094028362204</v>
      </c>
      <c r="T108" s="431">
        <f>_xlfn.IFS((O108&lt;='Infill Capacities'!$CW$18),(O108*'Infill Capacities'!$CR$18*'Infill Capacities'!$CQ$8),(AND((O108&gt;'Infill Capacities'!$CW$18),(O108&lt;='Infill Capacities'!$CX$18))),((O108-'Infill Capacities'!$CW$18)*'Infill Capacities'!$CQ$8*('Infill Capacities'!$CS$18)+'Infill Capacities'!$CM$18),(AND((O108&gt;'Infill Capacities'!$CX$18),(O108&lt;='Infill Capacities'!$CY$18))),((O108-'Infill Capacities'!$CX$18)*'Infill Capacities'!$CQ$8*('Infill Capacities'!$CT$18)+'Infill Capacities'!$CN$18),(AND((O108&gt;'Infill Capacities'!$CY$18),(O108&lt;='Infill Capacities'!$CZ$18))),((O108-'Infill Capacities'!$CY$18)*'Infill Capacities'!$CQ$8*('Infill Capacities'!$CU$18)+'Infill Capacities'!$CP$18))+_xlfn.IFS((O108&lt;='Frame Capacities'!$BO$18),(O108*'Frame Capacities'!$BH$8*'Frame Capacities'!$BI$18),(AND((O108&gt;'Frame Capacities'!$BO$18),(O108&lt;='Frame Capacities'!$BP$18))),((O108-'Frame Capacities'!$BO$18)*'Frame Capacities'!$BH$8*('Frame Capacities'!$BJ$18)+'Frame Capacities'!$BC$18),(AND((O108&gt;'Frame Capacities'!$BP$18),(O108&lt;='Frame Capacities'!$BQ$18))),((O108-'Frame Capacities'!$BP$18)*'Frame Capacities'!$BH$8*('Frame Capacities'!$BK$18)+'Frame Capacities'!$BD$18),(AND((O108&gt;'Frame Capacities'!$BQ$18),(O108&lt;='Frame Capacities'!$BR$18))),((O108-'Frame Capacities'!$BQ$18)*'Frame Capacities'!$BH$8*('Frame Capacities'!$BL$18)+'Frame Capacities'!$BE$18))</f>
        <v>95.136009639951936</v>
      </c>
      <c r="U108" s="431">
        <f>U107+T108*K108</f>
        <v>963.4252159181475</v>
      </c>
      <c r="V108" s="492"/>
      <c r="X108" s="69">
        <v>2</v>
      </c>
      <c r="Y108" s="70">
        <f>'Structural Information'!$Z$10</f>
        <v>40.367000000000004</v>
      </c>
      <c r="Z108" s="70">
        <f t="shared" si="68"/>
        <v>0.14484630062493611</v>
      </c>
      <c r="AA108" s="70">
        <f t="shared" si="69"/>
        <v>0.83286622859338266</v>
      </c>
      <c r="AB108" s="70">
        <f>(('Structural Information'!$Z$6*M104+'Structural Information'!$Z$7*M105+'Structural Information'!$Z$8*M106+'Structural Information'!$Z$9*M107+'Structural Information'!$Z$10*M108+'Structural Information'!$Z$11*M109)^2)/('Structural Information'!$Z$6*M104*M104+'Structural Information'!$Z$7*M105*M105+'Structural Information'!$Z$8*M106*M106+'Structural Information'!$Z$9*M107*M107+'Structural Information'!$Z$10*M108*M108+'Structural Information'!$Z$11*M109*M109)</f>
        <v>200.77844728267124</v>
      </c>
    </row>
    <row r="109" spans="9:28" x14ac:dyDescent="0.25">
      <c r="J109" s="489">
        <v>1</v>
      </c>
      <c r="K109" s="431">
        <f>'Structural Information'!$U$11</f>
        <v>2.75</v>
      </c>
      <c r="L109" s="431">
        <f>K109</f>
        <v>2.75</v>
      </c>
      <c r="M109" s="490">
        <f>'Yield Mechanism'!$X$62</f>
        <v>1.6636583172296823E-3</v>
      </c>
      <c r="N109" s="71">
        <f>M109</f>
        <v>1.6636583172296823E-3</v>
      </c>
      <c r="O109" s="491">
        <f t="shared" si="67"/>
        <v>6.0496666081079353E-4</v>
      </c>
      <c r="P109" s="490">
        <f>$C$31</f>
        <v>5.3120868684138484E-3</v>
      </c>
      <c r="Q109" s="490">
        <f>$D$31</f>
        <v>1.7606502644787157E-3</v>
      </c>
      <c r="R109" s="70">
        <f t="shared" ref="R109" si="73">O109/P109</f>
        <v>0.11388493369865246</v>
      </c>
      <c r="S109" s="70">
        <f t="shared" si="72"/>
        <v>0.34360410640094324</v>
      </c>
      <c r="T109" s="431">
        <f>_xlfn.IFS((O109&lt;='Infill Capacities'!$CW$19),(O109*'Infill Capacities'!$CR$19*'Infill Capacities'!$CQ$9),(AND((O109&gt;'Infill Capacities'!$CW$19),(O109&lt;='Infill Capacities'!$CX$19))),((O109-'Infill Capacities'!$CW$19)*'Infill Capacities'!$CQ$9*('Infill Capacities'!$CS$19)+'Infill Capacities'!$CM$19),(AND((O109&gt;'Infill Capacities'!$CX$19),(O109&lt;='Infill Capacities'!$CY$19))),((O109-'Infill Capacities'!$CX$19)*'Infill Capacities'!$CQ$9*('Infill Capacities'!$CT$19)+'Infill Capacities'!$CN$19),(AND((O109&gt;'Infill Capacities'!$CY$19),(O109&lt;='Infill Capacities'!$CZ$19))),((O109-'Infill Capacities'!$CY$19)*'Infill Capacities'!$CQ$9*('Infill Capacities'!$CU$19)+'Infill Capacities'!$CP$19))+_xlfn.IFS((O109&lt;='Frame Capacities'!$BO$19),(O109*'Frame Capacities'!$BH$9*'Frame Capacities'!$BI$19),(AND((O109&gt;'Frame Capacities'!$BO$19),(O109&lt;='Frame Capacities'!$BP$19))),((O109-'Frame Capacities'!$BO$19)*'Frame Capacities'!$BH$9*('Frame Capacities'!$BJ$19)+'Frame Capacities'!$BC$19),(AND((O109&gt;'Frame Capacities'!$BP$19),(O109&lt;='Frame Capacities'!$BQ$19))),((O109-'Frame Capacities'!$BP$19)*'Frame Capacities'!$BH$9*('Frame Capacities'!$BK$19)+'Frame Capacities'!$BD$19),(AND((O109&gt;'Frame Capacities'!$BQ$19),(O109&lt;='Frame Capacities'!$BR$19))),((O109-'Frame Capacities'!$BQ$19)*'Frame Capacities'!$BH$9*('Frame Capacities'!$BL$19)+'Frame Capacities'!$BE$19))</f>
        <v>99.99999227978364</v>
      </c>
      <c r="U109" s="431">
        <f>U108+T109*K109</f>
        <v>1238.4251946875524</v>
      </c>
      <c r="V109" s="495"/>
      <c r="X109" s="69">
        <v>1</v>
      </c>
      <c r="Y109" s="70">
        <f>'Structural Information'!$Z$11</f>
        <v>40.367000000000004</v>
      </c>
      <c r="Z109" s="70">
        <f t="shared" si="68"/>
        <v>6.7156895291610591E-2</v>
      </c>
      <c r="AA109" s="70">
        <f t="shared" si="69"/>
        <v>0.18468146205192912</v>
      </c>
      <c r="AB109" s="68" t="s">
        <v>382</v>
      </c>
    </row>
    <row r="110" spans="9:28" x14ac:dyDescent="0.25">
      <c r="X110" s="496"/>
      <c r="Y110" s="68" t="s">
        <v>95</v>
      </c>
      <c r="Z110" s="497">
        <f>SUM(Z104:Z109)</f>
        <v>1.3806947246626657</v>
      </c>
      <c r="AA110" s="497">
        <f>SUM(AA104:AA109)</f>
        <v>17.098871541857882</v>
      </c>
      <c r="AB110" s="430">
        <f>2*PI()*SQRT(AB108/AB106)</f>
        <v>0.83852635202767545</v>
      </c>
    </row>
    <row r="112" spans="9:28" x14ac:dyDescent="0.25">
      <c r="J112" s="944" t="s">
        <v>384</v>
      </c>
      <c r="K112" s="945"/>
      <c r="L112" s="945"/>
      <c r="M112" s="945"/>
      <c r="N112" s="945"/>
      <c r="O112" s="945"/>
      <c r="P112" s="945"/>
      <c r="Q112" s="945"/>
      <c r="R112" s="945"/>
      <c r="S112" s="945"/>
      <c r="T112" s="945"/>
      <c r="U112" s="945"/>
      <c r="V112" s="946"/>
      <c r="W112" s="1"/>
      <c r="X112" s="929" t="s">
        <v>124</v>
      </c>
      <c r="Y112" s="929"/>
      <c r="Z112" s="929"/>
      <c r="AA112" s="929"/>
      <c r="AB112" s="929"/>
    </row>
    <row r="113" spans="2:28" ht="15" customHeight="1" x14ac:dyDescent="0.25">
      <c r="J113" s="590" t="s">
        <v>9</v>
      </c>
      <c r="K113" s="588" t="s">
        <v>3</v>
      </c>
      <c r="L113" s="588" t="s">
        <v>89</v>
      </c>
      <c r="M113" s="590" t="s">
        <v>91</v>
      </c>
      <c r="N113" s="590" t="s">
        <v>98</v>
      </c>
      <c r="O113" s="588" t="s">
        <v>119</v>
      </c>
      <c r="P113" s="588" t="s">
        <v>286</v>
      </c>
      <c r="Q113" s="588" t="s">
        <v>287</v>
      </c>
      <c r="R113" s="590" t="s">
        <v>457</v>
      </c>
      <c r="S113" s="590" t="s">
        <v>458</v>
      </c>
      <c r="T113" s="590" t="s">
        <v>92</v>
      </c>
      <c r="U113" s="588" t="s">
        <v>120</v>
      </c>
      <c r="V113" s="590" t="s">
        <v>96</v>
      </c>
      <c r="X113" s="590" t="s">
        <v>9</v>
      </c>
      <c r="Y113" s="924" t="s">
        <v>93</v>
      </c>
      <c r="Z113" s="924" t="s">
        <v>94</v>
      </c>
      <c r="AA113" s="924" t="s">
        <v>122</v>
      </c>
      <c r="AB113" s="588" t="s">
        <v>123</v>
      </c>
    </row>
    <row r="114" spans="2:28" x14ac:dyDescent="0.25">
      <c r="J114" s="590"/>
      <c r="K114" s="588"/>
      <c r="L114" s="588"/>
      <c r="M114" s="590"/>
      <c r="N114" s="590"/>
      <c r="O114" s="588"/>
      <c r="P114" s="588"/>
      <c r="Q114" s="588"/>
      <c r="R114" s="590"/>
      <c r="S114" s="590"/>
      <c r="T114" s="590"/>
      <c r="U114" s="588"/>
      <c r="V114" s="590"/>
      <c r="X114" s="590"/>
      <c r="Y114" s="924"/>
      <c r="Z114" s="924"/>
      <c r="AA114" s="924"/>
      <c r="AB114" s="588"/>
    </row>
    <row r="115" spans="2:28" x14ac:dyDescent="0.25">
      <c r="J115" s="489">
        <v>6</v>
      </c>
      <c r="K115" s="431">
        <f>'Structural Information'!$U$6</f>
        <v>3</v>
      </c>
      <c r="L115" s="431">
        <f>L116+K115</f>
        <v>17.75</v>
      </c>
      <c r="M115" s="490">
        <f>'Yield Mechanism'!$X$57</f>
        <v>8.8706729885236167E-3</v>
      </c>
      <c r="N115" s="71">
        <f>M115-M116</f>
        <v>6.7920838535619546E-4</v>
      </c>
      <c r="O115" s="491">
        <f t="shared" ref="O115:O120" si="74">N115/K115</f>
        <v>2.2640279511873182E-4</v>
      </c>
      <c r="P115" s="490">
        <f>$C$26</f>
        <v>8.3119145368492249E-3</v>
      </c>
      <c r="Q115" s="490">
        <f>$D$26</f>
        <v>2.2387978504494433E-3</v>
      </c>
      <c r="R115" s="70">
        <f>O115/P115</f>
        <v>2.7238344922222182E-2</v>
      </c>
      <c r="S115" s="70">
        <f>O115/Q115</f>
        <v>0.10112694858684136</v>
      </c>
      <c r="T115" s="431">
        <f>_xlfn.IFS((O115&lt;='Infill Capacities'!$CW$14),(O115*'Infill Capacities'!$CR$14*'Infill Capacities'!$CQ$4),(AND((O115&gt;'Infill Capacities'!$CW$14),(O115&lt;='Infill Capacities'!$CX$14))),((O115-'Infill Capacities'!$CW$14)*'Infill Capacities'!$CQ$4*('Infill Capacities'!$CS$14)+'Infill Capacities'!$CM$14),(AND((O115&gt;'Infill Capacities'!$CX$14),(O115&lt;='Infill Capacities'!$CY$14))),((O115-'Infill Capacities'!$CX$14)*'Infill Capacities'!$CQ$4*('Infill Capacities'!$CT$14)+'Infill Capacities'!$CN$14),(AND((O115&gt;'Infill Capacities'!$CY$14),(O115&lt;='Infill Capacities'!$CZ$14))),((O115-'Infill Capacities'!$CY$14)*'Infill Capacities'!$CQ$4*('Infill Capacities'!$CU$14)+'Infill Capacities'!$CP$14))+_xlfn.IFS((O115&lt;='Frame Capacities'!$BO$14),(O115*'Frame Capacities'!$BH$4*'Frame Capacities'!$BI$14),(AND((O115&gt;'Frame Capacities'!$BO$14),(O115&lt;='Frame Capacities'!$BP$14))),((O115-'Frame Capacities'!$BO$14)*'Frame Capacities'!$BH$4*('Frame Capacities'!$BJ$14)+'Frame Capacities'!$BC$14),(AND((O115&gt;'Frame Capacities'!$BP$14),(O115&lt;='Frame Capacities'!$BQ$14))),((O115-'Frame Capacities'!$BP$14)*'Frame Capacities'!$BH$4*('Frame Capacities'!$BK$14)+'Frame Capacities'!$BD$14),(AND((O115&gt;'Frame Capacities'!$BQ$14),(O115&lt;='Frame Capacities'!$BR$14))),((O115-'Frame Capacities'!$BQ$14)*'Frame Capacities'!$BH$4*('Frame Capacities'!$BL$14)+'Frame Capacities'!$BE$14))</f>
        <v>24.314358638495708</v>
      </c>
      <c r="U115" s="431">
        <f>K115*T115</f>
        <v>72.943075915487128</v>
      </c>
      <c r="V115" s="70">
        <f>U120/AB115</f>
        <v>99.999998772354672</v>
      </c>
      <c r="W115" s="47"/>
      <c r="X115" s="69">
        <v>6</v>
      </c>
      <c r="Y115" s="70">
        <f>'Structural Information'!$Z$6</f>
        <v>37.8446</v>
      </c>
      <c r="Z115" s="70">
        <f>Y115*M115</f>
        <v>0.33570707098148084</v>
      </c>
      <c r="AA115" s="70">
        <f t="shared" ref="AA115:AA120" si="75">Z115*L115</f>
        <v>5.9588005099212848</v>
      </c>
      <c r="AB115" s="70">
        <f>AA121/Z121</f>
        <v>12.384252098910217</v>
      </c>
    </row>
    <row r="116" spans="2:28" x14ac:dyDescent="0.25">
      <c r="J116" s="489">
        <v>5</v>
      </c>
      <c r="K116" s="431">
        <f>'Structural Information'!$U$7</f>
        <v>3</v>
      </c>
      <c r="L116" s="431">
        <f>L117+K116</f>
        <v>14.75</v>
      </c>
      <c r="M116" s="490">
        <f>'Yield Mechanism'!$X$58</f>
        <v>8.1914646031674213E-3</v>
      </c>
      <c r="N116" s="71">
        <f>M116-M117</f>
        <v>1.1731887339810039E-3</v>
      </c>
      <c r="O116" s="491">
        <f t="shared" si="74"/>
        <v>3.9106291132700129E-4</v>
      </c>
      <c r="P116" s="490">
        <f>$C$27</f>
        <v>9.597600000000003E-3</v>
      </c>
      <c r="Q116" s="490">
        <f>$D$27</f>
        <v>1.92360761471166E-3</v>
      </c>
      <c r="R116" s="70">
        <f t="shared" ref="R116:R118" si="76">O116/P116</f>
        <v>4.0745906406497577E-2</v>
      </c>
      <c r="S116" s="70">
        <f t="shared" ref="S116:S117" si="77">O116/Q116</f>
        <v>0.20329661222807119</v>
      </c>
      <c r="T116" s="431">
        <f>_xlfn.IFS((O116&lt;='Infill Capacities'!$CW$15),(O116*'Infill Capacities'!$CR$15*'Infill Capacities'!$CQ$5),(AND((O116&gt;'Infill Capacities'!$CW$15),(O116&lt;='Infill Capacities'!$CX$15))),((O116-'Infill Capacities'!$CW$15)*'Infill Capacities'!$CQ$5*('Infill Capacities'!$CS$15)+'Infill Capacities'!$CM$15),(AND((O116&gt;'Infill Capacities'!$CX$15),(O116&lt;='Infill Capacities'!$CY$15))),((O116-'Infill Capacities'!$CX$15)*'Infill Capacities'!$CQ$5*('Infill Capacities'!$CT$15)+'Infill Capacities'!$CN$15),(AND((O116&gt;'Infill Capacities'!$CY$15),(O116&lt;='Infill Capacities'!$CZ$15))),((O116-'Infill Capacities'!$CY$15)*'Infill Capacities'!$CQ$5*('Infill Capacities'!$CU$15)+'Infill Capacities'!$CP$15))+_xlfn.IFS((O116&lt;='Frame Capacities'!$BO$15),(O116*'Frame Capacities'!$BH$5*'Frame Capacities'!$BI$15),(AND((O116&gt;'Frame Capacities'!$BO$15),(O116&lt;='Frame Capacities'!$BP$15))),((O116-'Frame Capacities'!$BO$15)*'Frame Capacities'!$BH$5*('Frame Capacities'!$BJ$15)+'Frame Capacities'!$BC$15),(AND((O116&gt;'Frame Capacities'!$BP$15),(O116&lt;='Frame Capacities'!$BQ$15))),((O116-'Frame Capacities'!$BP$15)*'Frame Capacities'!$BH$5*('Frame Capacities'!$BK$15)+'Frame Capacities'!$BD$15),(AND((O116&gt;'Frame Capacities'!$BQ$15),(O116&lt;='Frame Capacities'!$BR$15))),((O116-'Frame Capacities'!$BQ$15)*'Frame Capacities'!$BH$5*('Frame Capacities'!$BL$15)+'Frame Capacities'!$BE$15))</f>
        <v>48.263523243971207</v>
      </c>
      <c r="U116" s="431">
        <f>U115+T116*K116</f>
        <v>217.73364564740075</v>
      </c>
      <c r="V116" s="492"/>
      <c r="W116" s="47"/>
      <c r="X116" s="69">
        <v>5</v>
      </c>
      <c r="Y116" s="70">
        <f>'Structural Information'!$Z$7</f>
        <v>40.367000000000004</v>
      </c>
      <c r="Z116" s="70">
        <f t="shared" ref="Z116:Z120" si="78">Y116*M116</f>
        <v>0.33066485163605935</v>
      </c>
      <c r="AA116" s="70">
        <f t="shared" si="75"/>
        <v>4.8773065616318751</v>
      </c>
      <c r="AB116" s="68" t="s">
        <v>381</v>
      </c>
    </row>
    <row r="117" spans="2:28" ht="15" customHeight="1" x14ac:dyDescent="0.25">
      <c r="J117" s="489">
        <v>4</v>
      </c>
      <c r="K117" s="431">
        <f>'Structural Information'!$U$8</f>
        <v>3</v>
      </c>
      <c r="L117" s="431">
        <f>L118+K117</f>
        <v>11.75</v>
      </c>
      <c r="M117" s="490">
        <f>'Yield Mechanism'!$X$59</f>
        <v>7.0182758691864173E-3</v>
      </c>
      <c r="N117" s="491">
        <f>M117-M118</f>
        <v>1.5927336164272138E-3</v>
      </c>
      <c r="O117" s="491">
        <f t="shared" si="74"/>
        <v>5.3091120547573789E-4</v>
      </c>
      <c r="P117" s="490">
        <f>$C$28</f>
        <v>9.015519176800749E-3</v>
      </c>
      <c r="Q117" s="490">
        <f>$D$28</f>
        <v>1.852250472241956E-3</v>
      </c>
      <c r="R117" s="70">
        <f t="shared" si="76"/>
        <v>5.8888589227552093E-2</v>
      </c>
      <c r="S117" s="70">
        <f t="shared" si="77"/>
        <v>0.28663035233735168</v>
      </c>
      <c r="T117" s="431">
        <f>_xlfn.IFS((O117&lt;='Infill Capacities'!$CW$16),(O117*'Infill Capacities'!$CR$16*'Infill Capacities'!$CQ$6),(AND((O117&gt;'Infill Capacities'!$CW$16),(O117&lt;='Infill Capacities'!$CX$16))),((O117-'Infill Capacities'!$CW$16)*'Infill Capacities'!$CQ$6*('Infill Capacities'!$CS$16)+'Infill Capacities'!$CM$16),(AND((O117&gt;'Infill Capacities'!$CX$16),(O117&lt;='Infill Capacities'!$CY$16))),((O117-'Infill Capacities'!$CX$16)*'Infill Capacities'!$CQ$6*('Infill Capacities'!$CT$16)+'Infill Capacities'!$CN$16),(AND((O117&gt;'Infill Capacities'!$CY$16),(O117&lt;='Infill Capacities'!$CZ$16))),((O117-'Infill Capacities'!$CY$16)*'Infill Capacities'!$CQ$6*('Infill Capacities'!$CU$16)+'Infill Capacities'!$CP$16))+_xlfn.IFS((O117&lt;='Frame Capacities'!$BO$16),(O117*'Frame Capacities'!$BH$6*'Frame Capacities'!$BI$16),(AND((O117&gt;'Frame Capacities'!$BO$16),(O117&lt;='Frame Capacities'!$BP$16))),((O117-'Frame Capacities'!$BO$16)*'Frame Capacities'!$BH$6*('Frame Capacities'!$BJ$16)+'Frame Capacities'!$BC$16),(AND((O117&gt;'Frame Capacities'!$BP$16),(O117&lt;='Frame Capacities'!$BQ$16))),((O117-'Frame Capacities'!$BP$16)*'Frame Capacities'!$BH$6*('Frame Capacities'!$BK$16)+'Frame Capacities'!$BD$16),(AND((O117&gt;'Frame Capacities'!$BQ$16),(O117&lt;='Frame Capacities'!$BR$16))),((O117-'Frame Capacities'!$BQ$16)*'Frame Capacities'!$BH$6*('Frame Capacities'!$BL$16)+'Frame Capacities'!$BE$16))</f>
        <v>68.782667375673356</v>
      </c>
      <c r="U117" s="431">
        <f>U116+T117*K117</f>
        <v>424.08164777442084</v>
      </c>
      <c r="V117" s="493" t="s">
        <v>130</v>
      </c>
      <c r="W117" s="47"/>
      <c r="X117" s="69">
        <v>4</v>
      </c>
      <c r="Y117" s="70">
        <f>'Structural Information'!$Z$8</f>
        <v>40.367000000000004</v>
      </c>
      <c r="Z117" s="70">
        <f t="shared" si="78"/>
        <v>0.28330674201144812</v>
      </c>
      <c r="AA117" s="70">
        <f t="shared" si="75"/>
        <v>3.3288542186345156</v>
      </c>
      <c r="AB117" s="430">
        <f>T120/M115</f>
        <v>11273.100970936261</v>
      </c>
    </row>
    <row r="118" spans="2:28" ht="15" customHeight="1" x14ac:dyDescent="0.25">
      <c r="J118" s="489">
        <v>3</v>
      </c>
      <c r="K118" s="431">
        <f>'Structural Information'!$U$9</f>
        <v>3</v>
      </c>
      <c r="L118" s="431">
        <f>L119+K118</f>
        <v>8.75</v>
      </c>
      <c r="M118" s="490">
        <f>'Yield Mechanism'!$X$60</f>
        <v>5.4255422527592035E-3</v>
      </c>
      <c r="N118" s="71">
        <f>M118-M119</f>
        <v>1.83730679743837E-3</v>
      </c>
      <c r="O118" s="491">
        <f t="shared" si="74"/>
        <v>6.1243559914612338E-4</v>
      </c>
      <c r="P118" s="490">
        <f>$C$29</f>
        <v>8.5822017391304368E-3</v>
      </c>
      <c r="Q118" s="490">
        <f>$D$29</f>
        <v>1.7915672005543457E-3</v>
      </c>
      <c r="R118" s="431">
        <f t="shared" si="76"/>
        <v>7.1361128270118757E-2</v>
      </c>
      <c r="S118" s="70">
        <f>O118/Q118</f>
        <v>0.34184349822692889</v>
      </c>
      <c r="T118" s="431">
        <f>_xlfn.IFS((O118&lt;='Infill Capacities'!$CW$17),(O118*'Infill Capacities'!$CR$17*'Infill Capacities'!$CQ$7),(AND((O118&gt;'Infill Capacities'!$CW$17),(O118&lt;='Infill Capacities'!$CX$17))),((O118-'Infill Capacities'!$CW$17)*'Infill Capacities'!$CQ$7*('Infill Capacities'!$CS$17)+'Infill Capacities'!$CM$17),(AND((O118&gt;'Infill Capacities'!$CX$17),(O118&lt;='Infill Capacities'!$CY$17))),((O118-'Infill Capacities'!$CX$17)*'Infill Capacities'!$CQ$7*('Infill Capacities'!$CT$17)+'Infill Capacities'!$CN$17),(AND((O118&gt;'Infill Capacities'!$CY$17),(O118&lt;='Infill Capacities'!$CZ$17))),((O118-'Infill Capacities'!$CY$17)*'Infill Capacities'!$CQ$7*('Infill Capacities'!$CU$17)+'Infill Capacities'!$CP$17))+_xlfn.IFS((O118&lt;='Frame Capacities'!$BO$17),(O118*'Frame Capacities'!$BH$7*'Frame Capacities'!$BI$17),(AND((O118&gt;'Frame Capacities'!$BO$17),(O118&lt;='Frame Capacities'!$BP$17))),((O118-'Frame Capacities'!$BO$17)*'Frame Capacities'!$BH$7*('Frame Capacities'!$BJ$17)+'Frame Capacities'!$BC$17),(AND((O118&gt;'Frame Capacities'!$BP$17),(O118&lt;='Frame Capacities'!$BQ$17))),((O118-'Frame Capacities'!$BP$17)*'Frame Capacities'!$BH$7*('Frame Capacities'!$BK$17)+'Frame Capacities'!$BD$17),(AND((O118&gt;'Frame Capacities'!$BQ$17),(O118&lt;='Frame Capacities'!$BR$17))),((O118-'Frame Capacities'!$BQ$17)*'Frame Capacities'!$BH$7*('Frame Capacities'!$BL$17)+'Frame Capacities'!$BE$17))</f>
        <v>84.645179741290264</v>
      </c>
      <c r="U118" s="431">
        <f>U117+T118*K118</f>
        <v>678.01718699829166</v>
      </c>
      <c r="V118" s="494">
        <v>0</v>
      </c>
      <c r="W118" s="47"/>
      <c r="X118" s="69">
        <v>3</v>
      </c>
      <c r="Y118" s="70">
        <f>'Structural Information'!$Z$9</f>
        <v>40.367000000000004</v>
      </c>
      <c r="Z118" s="70">
        <f t="shared" si="78"/>
        <v>0.21901286411713081</v>
      </c>
      <c r="AA118" s="70">
        <f t="shared" si="75"/>
        <v>1.9163625610248947</v>
      </c>
      <c r="AB118" s="351" t="s">
        <v>383</v>
      </c>
    </row>
    <row r="119" spans="2:28" x14ac:dyDescent="0.25">
      <c r="J119" s="489">
        <v>2</v>
      </c>
      <c r="K119" s="431">
        <f>'Structural Information'!$U$10</f>
        <v>3</v>
      </c>
      <c r="L119" s="431">
        <f>L120+K119</f>
        <v>5.75</v>
      </c>
      <c r="M119" s="490">
        <f>'Yield Mechanism'!$X$61</f>
        <v>3.5882354553208335E-3</v>
      </c>
      <c r="N119" s="71">
        <f>M119-M120</f>
        <v>1.9245771380911512E-3</v>
      </c>
      <c r="O119" s="491">
        <f t="shared" si="74"/>
        <v>6.4152571269705035E-4</v>
      </c>
      <c r="P119" s="490">
        <f>$C$30</f>
        <v>6.7523273096129852E-3</v>
      </c>
      <c r="Q119" s="490">
        <f>$D$30</f>
        <v>1.7342707198796904E-3</v>
      </c>
      <c r="R119" s="70">
        <f>O119/P119</f>
        <v>9.5008088808689564E-2</v>
      </c>
      <c r="S119" s="70">
        <f t="shared" ref="S119:S120" si="79">O119/Q119</f>
        <v>0.36991094028362204</v>
      </c>
      <c r="T119" s="431">
        <f>_xlfn.IFS((O119&lt;='Infill Capacities'!$CW$18),(O119*'Infill Capacities'!$CR$18*'Infill Capacities'!$CQ$8),(AND((O119&gt;'Infill Capacities'!$CW$18),(O119&lt;='Infill Capacities'!$CX$18))),((O119-'Infill Capacities'!$CW$18)*'Infill Capacities'!$CQ$8*('Infill Capacities'!$CS$18)+'Infill Capacities'!$CM$18),(AND((O119&gt;'Infill Capacities'!$CX$18),(O119&lt;='Infill Capacities'!$CY$18))),((O119-'Infill Capacities'!$CX$18)*'Infill Capacities'!$CQ$8*('Infill Capacities'!$CT$18)+'Infill Capacities'!$CN$18),(AND((O119&gt;'Infill Capacities'!$CY$18),(O119&lt;='Infill Capacities'!$CZ$18))),((O119-'Infill Capacities'!$CY$18)*'Infill Capacities'!$CQ$8*('Infill Capacities'!$CU$18)+'Infill Capacities'!$CP$18))+_xlfn.IFS((O119&lt;='Frame Capacities'!$BO$18),(O119*'Frame Capacities'!$BH$8*'Frame Capacities'!$BI$18),(AND((O119&gt;'Frame Capacities'!$BO$18),(O119&lt;='Frame Capacities'!$BP$18))),((O119-'Frame Capacities'!$BO$18)*'Frame Capacities'!$BH$8*('Frame Capacities'!$BJ$18)+'Frame Capacities'!$BC$18),(AND((O119&gt;'Frame Capacities'!$BP$18),(O119&lt;='Frame Capacities'!$BQ$18))),((O119-'Frame Capacities'!$BP$18)*'Frame Capacities'!$BH$8*('Frame Capacities'!$BK$18)+'Frame Capacities'!$BD$18),(AND((O119&gt;'Frame Capacities'!$BQ$18),(O119&lt;='Frame Capacities'!$BR$18))),((O119-'Frame Capacities'!$BQ$18)*'Frame Capacities'!$BH$8*('Frame Capacities'!$BL$18)+'Frame Capacities'!$BE$18))</f>
        <v>95.136009639951936</v>
      </c>
      <c r="U119" s="431">
        <f>U118+T119*K119</f>
        <v>963.4252159181475</v>
      </c>
      <c r="V119" s="492"/>
      <c r="W119" s="47"/>
      <c r="X119" s="69">
        <v>2</v>
      </c>
      <c r="Y119" s="70">
        <f>'Structural Information'!$Z$10</f>
        <v>40.367000000000004</v>
      </c>
      <c r="Z119" s="70">
        <f t="shared" si="78"/>
        <v>0.14484630062493611</v>
      </c>
      <c r="AA119" s="70">
        <f t="shared" si="75"/>
        <v>0.83286622859338266</v>
      </c>
      <c r="AB119" s="70">
        <f>(('Structural Information'!$Z$6*M115+'Structural Information'!$Z$7*M116+'Structural Information'!$Z$8*M117+'Structural Information'!$Z$9*M118+'Structural Information'!$Z$10*M119+'Structural Information'!$Z$11*M120)^2)/('Structural Information'!$Z$6*M115*M115+'Structural Information'!$Z$7*M116*M116+'Structural Information'!$Z$8*M117*M117+'Structural Information'!$Z$9*M118*M118+'Structural Information'!$Z$10*M119*M119+'Structural Information'!$Z$11*M120*M120)</f>
        <v>200.77844728267124</v>
      </c>
    </row>
    <row r="120" spans="2:28" x14ac:dyDescent="0.25">
      <c r="J120" s="489">
        <v>1</v>
      </c>
      <c r="K120" s="431">
        <f>'Structural Information'!$U$11</f>
        <v>2.75</v>
      </c>
      <c r="L120" s="431">
        <f>K120</f>
        <v>2.75</v>
      </c>
      <c r="M120" s="490">
        <f>'Yield Mechanism'!$X$62</f>
        <v>1.6636583172296823E-3</v>
      </c>
      <c r="N120" s="71">
        <f>M120</f>
        <v>1.6636583172296823E-3</v>
      </c>
      <c r="O120" s="491">
        <f t="shared" si="74"/>
        <v>6.0496666081079353E-4</v>
      </c>
      <c r="P120" s="490">
        <f>$C$31</f>
        <v>5.3120868684138484E-3</v>
      </c>
      <c r="Q120" s="490">
        <f>$D$31</f>
        <v>1.7606502644787157E-3</v>
      </c>
      <c r="R120" s="70">
        <f t="shared" ref="R120" si="80">O120/P120</f>
        <v>0.11388493369865246</v>
      </c>
      <c r="S120" s="70">
        <f t="shared" si="79"/>
        <v>0.34360410640094324</v>
      </c>
      <c r="T120" s="431">
        <f>_xlfn.IFS((O120&lt;='Infill Capacities'!$CW$19),(O120*'Infill Capacities'!$CR$19*'Infill Capacities'!$CQ$9),(AND((O120&gt;'Infill Capacities'!$CW$19),(O120&lt;='Infill Capacities'!$CX$19))),((O120-'Infill Capacities'!$CW$19)*'Infill Capacities'!$CQ$9*('Infill Capacities'!$CS$19)+'Infill Capacities'!$CM$19),(AND((O120&gt;'Infill Capacities'!$CX$19),(O120&lt;='Infill Capacities'!$CY$19))),((O120-'Infill Capacities'!$CX$19)*'Infill Capacities'!$CQ$9*('Infill Capacities'!$CT$19)+'Infill Capacities'!$CN$19),(AND((O120&gt;'Infill Capacities'!$CY$19),(O120&lt;='Infill Capacities'!$CZ$19))),((O120-'Infill Capacities'!$CY$19)*'Infill Capacities'!$CQ$9*('Infill Capacities'!$CU$19)+'Infill Capacities'!$CP$19))+_xlfn.IFS((O120&lt;='Frame Capacities'!$BO$19),(O120*'Frame Capacities'!$BH$9*'Frame Capacities'!$BI$19),(AND((O120&gt;'Frame Capacities'!$BO$19),(O120&lt;='Frame Capacities'!$BP$19))),((O120-'Frame Capacities'!$BO$19)*'Frame Capacities'!$BH$9*('Frame Capacities'!$BJ$19)+'Frame Capacities'!$BC$19),(AND((O120&gt;'Frame Capacities'!$BP$19),(O120&lt;='Frame Capacities'!$BQ$19))),((O120-'Frame Capacities'!$BP$19)*'Frame Capacities'!$BH$9*('Frame Capacities'!$BK$19)+'Frame Capacities'!$BD$19),(AND((O120&gt;'Frame Capacities'!$BQ$19),(O120&lt;='Frame Capacities'!$BR$19))),((O120-'Frame Capacities'!$BQ$19)*'Frame Capacities'!$BH$9*('Frame Capacities'!$BL$19)+'Frame Capacities'!$BE$19))</f>
        <v>99.99999227978364</v>
      </c>
      <c r="U120" s="431">
        <f>U119+T120*K120</f>
        <v>1238.4251946875524</v>
      </c>
      <c r="V120" s="495"/>
      <c r="W120" s="47"/>
      <c r="X120" s="69">
        <v>1</v>
      </c>
      <c r="Y120" s="70">
        <f>'Structural Information'!$Z$11</f>
        <v>40.367000000000004</v>
      </c>
      <c r="Z120" s="70">
        <f t="shared" si="78"/>
        <v>6.7156895291610591E-2</v>
      </c>
      <c r="AA120" s="70">
        <f t="shared" si="75"/>
        <v>0.18468146205192912</v>
      </c>
      <c r="AB120" s="68" t="s">
        <v>382</v>
      </c>
    </row>
    <row r="121" spans="2:28" x14ac:dyDescent="0.25">
      <c r="X121" s="496"/>
      <c r="Y121" s="68" t="s">
        <v>95</v>
      </c>
      <c r="Z121" s="497">
        <f>SUM(Z115:Z120)</f>
        <v>1.3806947246626657</v>
      </c>
      <c r="AA121" s="497">
        <f>SUM(AA115:AA120)</f>
        <v>17.098871541857882</v>
      </c>
      <c r="AB121" s="430">
        <f>2*PI()*SQRT(AB119/AB117)</f>
        <v>0.83852635202767545</v>
      </c>
    </row>
    <row r="123" spans="2:28" x14ac:dyDescent="0.25">
      <c r="B123" s="940" t="s">
        <v>233</v>
      </c>
      <c r="C123" s="941"/>
      <c r="D123" s="941"/>
      <c r="E123" s="941"/>
      <c r="F123" s="941"/>
      <c r="G123" s="941"/>
      <c r="H123" s="942"/>
      <c r="J123" s="925" t="s">
        <v>385</v>
      </c>
      <c r="K123" s="925"/>
      <c r="L123" s="925"/>
      <c r="M123" s="925"/>
      <c r="N123" s="925"/>
      <c r="O123" s="925"/>
      <c r="P123" s="925"/>
      <c r="Q123" s="925"/>
      <c r="R123" s="925"/>
      <c r="S123" s="925"/>
      <c r="T123" s="925"/>
      <c r="U123" s="925"/>
      <c r="V123" s="925"/>
      <c r="X123" s="928" t="s">
        <v>124</v>
      </c>
      <c r="Y123" s="928"/>
      <c r="Z123" s="928"/>
      <c r="AA123" s="928"/>
      <c r="AB123" s="928"/>
    </row>
    <row r="124" spans="2:28" x14ac:dyDescent="0.25">
      <c r="B124" s="590" t="s">
        <v>232</v>
      </c>
      <c r="C124" s="590" t="s">
        <v>9</v>
      </c>
      <c r="D124" s="593" t="s">
        <v>101</v>
      </c>
      <c r="E124" s="943"/>
      <c r="F124" s="943"/>
      <c r="G124" s="943"/>
      <c r="H124" s="594"/>
      <c r="J124" s="590" t="s">
        <v>9</v>
      </c>
      <c r="K124" s="588" t="s">
        <v>3</v>
      </c>
      <c r="L124" s="588" t="s">
        <v>89</v>
      </c>
      <c r="M124" s="590" t="s">
        <v>91</v>
      </c>
      <c r="N124" s="590" t="s">
        <v>98</v>
      </c>
      <c r="O124" s="588" t="s">
        <v>119</v>
      </c>
      <c r="P124" s="588" t="s">
        <v>286</v>
      </c>
      <c r="Q124" s="588" t="s">
        <v>287</v>
      </c>
      <c r="R124" s="590" t="s">
        <v>457</v>
      </c>
      <c r="S124" s="590" t="s">
        <v>458</v>
      </c>
      <c r="T124" s="590" t="s">
        <v>92</v>
      </c>
      <c r="U124" s="588" t="s">
        <v>120</v>
      </c>
      <c r="V124" s="590" t="s">
        <v>96</v>
      </c>
      <c r="X124" s="590" t="s">
        <v>9</v>
      </c>
      <c r="Y124" s="924" t="s">
        <v>93</v>
      </c>
      <c r="Z124" s="924" t="s">
        <v>94</v>
      </c>
      <c r="AA124" s="924" t="s">
        <v>122</v>
      </c>
      <c r="AB124" s="588" t="s">
        <v>123</v>
      </c>
    </row>
    <row r="125" spans="2:28" x14ac:dyDescent="0.25">
      <c r="B125" s="590"/>
      <c r="C125" s="590"/>
      <c r="D125" s="514">
        <v>-217.75650000000002</v>
      </c>
      <c r="E125" s="514">
        <v>-273.81110000000001</v>
      </c>
      <c r="F125" s="514">
        <v>-368.11439999999999</v>
      </c>
      <c r="G125" s="514">
        <v>-375.24020000000002</v>
      </c>
      <c r="H125" s="515" t="s">
        <v>295</v>
      </c>
      <c r="J125" s="590"/>
      <c r="K125" s="588"/>
      <c r="L125" s="588"/>
      <c r="M125" s="590"/>
      <c r="N125" s="590"/>
      <c r="O125" s="588"/>
      <c r="P125" s="588"/>
      <c r="Q125" s="588"/>
      <c r="R125" s="590"/>
      <c r="S125" s="590"/>
      <c r="T125" s="590"/>
      <c r="U125" s="588"/>
      <c r="V125" s="590"/>
      <c r="X125" s="590"/>
      <c r="Y125" s="924"/>
      <c r="Z125" s="924"/>
      <c r="AA125" s="924"/>
      <c r="AB125" s="588"/>
    </row>
    <row r="126" spans="2:28" x14ac:dyDescent="0.25">
      <c r="B126" s="68">
        <f>B127+3</f>
        <v>17.75</v>
      </c>
      <c r="C126" s="68">
        <v>6</v>
      </c>
      <c r="D126" s="71">
        <v>2.0361799999999999E-2</v>
      </c>
      <c r="E126" s="71">
        <v>2.7085000000000001E-2</v>
      </c>
      <c r="F126" s="71">
        <v>5.2610400000000002E-2</v>
      </c>
      <c r="G126" s="71">
        <v>6.0010899999999999E-2</v>
      </c>
      <c r="H126" s="516">
        <v>1.1649480822493626E-3</v>
      </c>
      <c r="I126" s="513"/>
      <c r="J126" s="489">
        <v>6</v>
      </c>
      <c r="K126" s="431">
        <f>'Structural Information'!$U$6</f>
        <v>3</v>
      </c>
      <c r="L126" s="431">
        <f>L127+K126</f>
        <v>17.75</v>
      </c>
      <c r="M126" s="490">
        <f>'Yield Mechanism'!$X$57</f>
        <v>8.8706729885236167E-3</v>
      </c>
      <c r="N126" s="71">
        <f>M126-M127</f>
        <v>6.7920838535619546E-4</v>
      </c>
      <c r="O126" s="491">
        <f t="shared" ref="O126:O131" si="81">N126/K126</f>
        <v>2.2640279511873182E-4</v>
      </c>
      <c r="P126" s="490">
        <f>$C$26</f>
        <v>8.3119145368492249E-3</v>
      </c>
      <c r="Q126" s="490">
        <f>$D$26</f>
        <v>2.2387978504494433E-3</v>
      </c>
      <c r="R126" s="70">
        <f>O126/P126</f>
        <v>2.7238344922222182E-2</v>
      </c>
      <c r="S126" s="70">
        <f>O126/Q126</f>
        <v>0.10112694858684136</v>
      </c>
      <c r="T126" s="431">
        <f>_xlfn.IFS((O126&lt;='Infill Capacities'!$CW$14),(O126*'Infill Capacities'!$CR$14*'Infill Capacities'!$CQ$4),(AND((O126&gt;'Infill Capacities'!$CW$14),(O126&lt;='Infill Capacities'!$CX$14))),((O126-'Infill Capacities'!$CW$14)*'Infill Capacities'!$CQ$4*('Infill Capacities'!$CS$14)+'Infill Capacities'!$CM$14),(AND((O126&gt;'Infill Capacities'!$CX$14),(O126&lt;='Infill Capacities'!$CY$14))),((O126-'Infill Capacities'!$CX$14)*'Infill Capacities'!$CQ$4*('Infill Capacities'!$CT$14)+'Infill Capacities'!$CN$14),(AND((O126&gt;'Infill Capacities'!$CY$14),(O126&lt;='Infill Capacities'!$CZ$14))),((O126-'Infill Capacities'!$CY$14)*'Infill Capacities'!$CQ$4*('Infill Capacities'!$CU$14)+'Infill Capacities'!$CP$14))+_xlfn.IFS((O126&lt;='Frame Capacities'!$BO$14),(O126*'Frame Capacities'!$BH$4*'Frame Capacities'!$BI$14),(AND((O126&gt;'Frame Capacities'!$BO$14),(O126&lt;='Frame Capacities'!$BP$14))),((O126-'Frame Capacities'!$BO$14)*'Frame Capacities'!$BH$4*('Frame Capacities'!$BJ$14)+'Frame Capacities'!$BC$14),(AND((O126&gt;'Frame Capacities'!$BP$14),(O126&lt;='Frame Capacities'!$BQ$14))),((O126-'Frame Capacities'!$BP$14)*'Frame Capacities'!$BH$4*('Frame Capacities'!$BK$14)+'Frame Capacities'!$BD$14),(AND((O126&gt;'Frame Capacities'!$BQ$14),(O126&lt;='Frame Capacities'!$BR$14))),((O126-'Frame Capacities'!$BQ$14)*'Frame Capacities'!$BH$4*('Frame Capacities'!$BL$14)+'Frame Capacities'!$BE$14))</f>
        <v>24.314358638495708</v>
      </c>
      <c r="U126" s="431">
        <f>K126*T126</f>
        <v>72.943075915487128</v>
      </c>
      <c r="V126" s="70">
        <f>U131/AB126</f>
        <v>99.999998772354672</v>
      </c>
      <c r="W126" s="47"/>
      <c r="X126" s="69">
        <v>6</v>
      </c>
      <c r="Y126" s="70">
        <f>'Structural Information'!$Z$6</f>
        <v>37.8446</v>
      </c>
      <c r="Z126" s="70">
        <f t="shared" ref="Z126:Z131" si="82">Y126*M126</f>
        <v>0.33570707098148084</v>
      </c>
      <c r="AA126" s="70">
        <f t="shared" ref="AA126:AA131" si="83">Z126*L126</f>
        <v>5.9588005099212848</v>
      </c>
      <c r="AB126" s="70">
        <f>AA132/Z132</f>
        <v>12.384252098910217</v>
      </c>
    </row>
    <row r="127" spans="2:28" x14ac:dyDescent="0.25">
      <c r="B127" s="68">
        <f>B128+3</f>
        <v>14.75</v>
      </c>
      <c r="C127" s="68">
        <v>5</v>
      </c>
      <c r="D127" s="71">
        <v>1.8538200000000001E-2</v>
      </c>
      <c r="E127" s="71">
        <v>2.4760399999999998E-2</v>
      </c>
      <c r="F127" s="71">
        <v>4.9445900000000001E-2</v>
      </c>
      <c r="G127" s="71">
        <v>5.6783599999999997E-2</v>
      </c>
      <c r="H127" s="516">
        <v>1.2176367703862906E-3</v>
      </c>
      <c r="I127" s="513"/>
      <c r="J127" s="489">
        <v>5</v>
      </c>
      <c r="K127" s="431">
        <f>'Structural Information'!$U$7</f>
        <v>3</v>
      </c>
      <c r="L127" s="431">
        <f>L128+K127</f>
        <v>14.75</v>
      </c>
      <c r="M127" s="490">
        <f>'Yield Mechanism'!$X$58</f>
        <v>8.1914646031674213E-3</v>
      </c>
      <c r="N127" s="71">
        <f>M127-M128</f>
        <v>1.1731887339810039E-3</v>
      </c>
      <c r="O127" s="491">
        <f t="shared" si="81"/>
        <v>3.9106291132700129E-4</v>
      </c>
      <c r="P127" s="490">
        <f>$C$27</f>
        <v>9.597600000000003E-3</v>
      </c>
      <c r="Q127" s="490">
        <f>$D$27</f>
        <v>1.92360761471166E-3</v>
      </c>
      <c r="R127" s="70">
        <f t="shared" ref="R127:R129" si="84">O127/P127</f>
        <v>4.0745906406497577E-2</v>
      </c>
      <c r="S127" s="70">
        <f t="shared" ref="S127:S128" si="85">O127/Q127</f>
        <v>0.20329661222807119</v>
      </c>
      <c r="T127" s="431">
        <f>_xlfn.IFS((O127&lt;='Infill Capacities'!$CW$15),(O127*'Infill Capacities'!$CR$15*'Infill Capacities'!$CQ$5),(AND((O127&gt;'Infill Capacities'!$CW$15),(O127&lt;='Infill Capacities'!$CX$15))),((O127-'Infill Capacities'!$CW$15)*'Infill Capacities'!$CQ$5*('Infill Capacities'!$CS$15)+'Infill Capacities'!$CM$15),(AND((O127&gt;'Infill Capacities'!$CX$15),(O127&lt;='Infill Capacities'!$CY$15))),((O127-'Infill Capacities'!$CX$15)*'Infill Capacities'!$CQ$5*('Infill Capacities'!$CT$15)+'Infill Capacities'!$CN$15),(AND((O127&gt;'Infill Capacities'!$CY$15),(O127&lt;='Infill Capacities'!$CZ$15))),((O127-'Infill Capacities'!$CY$15)*'Infill Capacities'!$CQ$5*('Infill Capacities'!$CU$15)+'Infill Capacities'!$CP$15))+_xlfn.IFS((O127&lt;='Frame Capacities'!$BO$15),(O127*'Frame Capacities'!$BH$5*'Frame Capacities'!$BI$15),(AND((O127&gt;'Frame Capacities'!$BO$15),(O127&lt;='Frame Capacities'!$BP$15))),((O127-'Frame Capacities'!$BO$15)*'Frame Capacities'!$BH$5*('Frame Capacities'!$BJ$15)+'Frame Capacities'!$BC$15),(AND((O127&gt;'Frame Capacities'!$BP$15),(O127&lt;='Frame Capacities'!$BQ$15))),((O127-'Frame Capacities'!$BP$15)*'Frame Capacities'!$BH$5*('Frame Capacities'!$BK$15)+'Frame Capacities'!$BD$15),(AND((O127&gt;'Frame Capacities'!$BQ$15),(O127&lt;='Frame Capacities'!$BR$15))),((O127-'Frame Capacities'!$BQ$15)*'Frame Capacities'!$BH$5*('Frame Capacities'!$BL$15)+'Frame Capacities'!$BE$15))</f>
        <v>48.263523243971207</v>
      </c>
      <c r="U127" s="431">
        <f>U126+T127*K127</f>
        <v>217.73364564740075</v>
      </c>
      <c r="V127" s="492"/>
      <c r="W127" s="47"/>
      <c r="X127" s="69">
        <v>5</v>
      </c>
      <c r="Y127" s="70">
        <f>'Structural Information'!$Z$7</f>
        <v>40.367000000000004</v>
      </c>
      <c r="Z127" s="70">
        <f t="shared" si="82"/>
        <v>0.33066485163605935</v>
      </c>
      <c r="AA127" s="70">
        <f t="shared" si="83"/>
        <v>4.8773065616318751</v>
      </c>
      <c r="AB127" s="68" t="s">
        <v>381</v>
      </c>
    </row>
    <row r="128" spans="2:28" x14ac:dyDescent="0.25">
      <c r="B128" s="68">
        <f>B129+3</f>
        <v>11.75</v>
      </c>
      <c r="C128" s="68">
        <v>4</v>
      </c>
      <c r="D128" s="71">
        <v>1.5601800000000001E-2</v>
      </c>
      <c r="E128" s="71">
        <v>2.1009099999999999E-2</v>
      </c>
      <c r="F128" s="71">
        <v>4.4279699999999998E-2</v>
      </c>
      <c r="G128" s="71">
        <v>5.1507499999999998E-2</v>
      </c>
      <c r="H128" s="516">
        <v>1.192009366564899E-3</v>
      </c>
      <c r="I128" s="513"/>
      <c r="J128" s="489">
        <v>4</v>
      </c>
      <c r="K128" s="431">
        <f>'Structural Information'!$U$8</f>
        <v>3</v>
      </c>
      <c r="L128" s="431">
        <f>L129+K128</f>
        <v>11.75</v>
      </c>
      <c r="M128" s="490">
        <f>'Yield Mechanism'!$X$59</f>
        <v>7.0182758691864173E-3</v>
      </c>
      <c r="N128" s="491">
        <f>M128-M129</f>
        <v>1.5927336164272138E-3</v>
      </c>
      <c r="O128" s="491">
        <f t="shared" si="81"/>
        <v>5.3091120547573789E-4</v>
      </c>
      <c r="P128" s="490">
        <f>$C$28</f>
        <v>9.015519176800749E-3</v>
      </c>
      <c r="Q128" s="490">
        <f>$D$28</f>
        <v>1.852250472241956E-3</v>
      </c>
      <c r="R128" s="70">
        <f t="shared" si="84"/>
        <v>5.8888589227552093E-2</v>
      </c>
      <c r="S128" s="70">
        <f t="shared" si="85"/>
        <v>0.28663035233735168</v>
      </c>
      <c r="T128" s="431">
        <f>_xlfn.IFS((O128&lt;='Infill Capacities'!$CW$16),(O128*'Infill Capacities'!$CR$16*'Infill Capacities'!$CQ$6),(AND((O128&gt;'Infill Capacities'!$CW$16),(O128&lt;='Infill Capacities'!$CX$16))),((O128-'Infill Capacities'!$CW$16)*'Infill Capacities'!$CQ$6*('Infill Capacities'!$CS$16)+'Infill Capacities'!$CM$16),(AND((O128&gt;'Infill Capacities'!$CX$16),(O128&lt;='Infill Capacities'!$CY$16))),((O128-'Infill Capacities'!$CX$16)*'Infill Capacities'!$CQ$6*('Infill Capacities'!$CT$16)+'Infill Capacities'!$CN$16),(AND((O128&gt;'Infill Capacities'!$CY$16),(O128&lt;='Infill Capacities'!$CZ$16))),((O128-'Infill Capacities'!$CY$16)*'Infill Capacities'!$CQ$6*('Infill Capacities'!$CU$16)+'Infill Capacities'!$CP$16))+_xlfn.IFS((O128&lt;='Frame Capacities'!$BO$16),(O128*'Frame Capacities'!$BH$6*'Frame Capacities'!$BI$16),(AND((O128&gt;'Frame Capacities'!$BO$16),(O128&lt;='Frame Capacities'!$BP$16))),((O128-'Frame Capacities'!$BO$16)*'Frame Capacities'!$BH$6*('Frame Capacities'!$BJ$16)+'Frame Capacities'!$BC$16),(AND((O128&gt;'Frame Capacities'!$BP$16),(O128&lt;='Frame Capacities'!$BQ$16))),((O128-'Frame Capacities'!$BP$16)*'Frame Capacities'!$BH$6*('Frame Capacities'!$BK$16)+'Frame Capacities'!$BD$16),(AND((O128&gt;'Frame Capacities'!$BQ$16),(O128&lt;='Frame Capacities'!$BR$16))),((O128-'Frame Capacities'!$BQ$16)*'Frame Capacities'!$BH$6*('Frame Capacities'!$BL$16)+'Frame Capacities'!$BE$16))</f>
        <v>68.782667375673356</v>
      </c>
      <c r="U128" s="431">
        <f>U127+T128*K128</f>
        <v>424.08164777442084</v>
      </c>
      <c r="V128" s="493" t="s">
        <v>130</v>
      </c>
      <c r="W128" s="47"/>
      <c r="X128" s="69">
        <v>4</v>
      </c>
      <c r="Y128" s="70">
        <f>'Structural Information'!$Z$8</f>
        <v>40.367000000000004</v>
      </c>
      <c r="Z128" s="70">
        <f t="shared" si="82"/>
        <v>0.28330674201144812</v>
      </c>
      <c r="AA128" s="70">
        <f t="shared" si="83"/>
        <v>3.3288542186345156</v>
      </c>
      <c r="AB128" s="430">
        <f>T131/M126</f>
        <v>11273.100970936261</v>
      </c>
    </row>
    <row r="129" spans="2:28" x14ac:dyDescent="0.25">
      <c r="B129" s="68">
        <f>B130+3</f>
        <v>8.75</v>
      </c>
      <c r="C129" s="68">
        <v>3</v>
      </c>
      <c r="D129" s="71">
        <v>1.1823500000000001E-2</v>
      </c>
      <c r="E129" s="71">
        <v>1.61736E-2</v>
      </c>
      <c r="F129" s="71">
        <v>3.5069900000000001E-2</v>
      </c>
      <c r="G129" s="71">
        <v>4.1815499999999999E-2</v>
      </c>
      <c r="H129" s="516">
        <v>9.6085356362685809E-4</v>
      </c>
      <c r="I129" s="513"/>
      <c r="J129" s="489">
        <v>3</v>
      </c>
      <c r="K129" s="431">
        <f>'Structural Information'!$U$9</f>
        <v>3</v>
      </c>
      <c r="L129" s="431">
        <f>L130+K129</f>
        <v>8.75</v>
      </c>
      <c r="M129" s="490">
        <f>'Yield Mechanism'!$X$60</f>
        <v>5.4255422527592035E-3</v>
      </c>
      <c r="N129" s="71">
        <f>M129-M130</f>
        <v>1.83730679743837E-3</v>
      </c>
      <c r="O129" s="491">
        <f t="shared" si="81"/>
        <v>6.1243559914612338E-4</v>
      </c>
      <c r="P129" s="490">
        <f>$C$29</f>
        <v>8.5822017391304368E-3</v>
      </c>
      <c r="Q129" s="490">
        <f>$D$29</f>
        <v>1.7915672005543457E-3</v>
      </c>
      <c r="R129" s="431">
        <f t="shared" si="84"/>
        <v>7.1361128270118757E-2</v>
      </c>
      <c r="S129" s="70">
        <f>O129/Q129</f>
        <v>0.34184349822692889</v>
      </c>
      <c r="T129" s="431">
        <f>_xlfn.IFS((O129&lt;='Infill Capacities'!$CW$17),(O129*'Infill Capacities'!$CR$17*'Infill Capacities'!$CQ$7),(AND((O129&gt;'Infill Capacities'!$CW$17),(O129&lt;='Infill Capacities'!$CX$17))),((O129-'Infill Capacities'!$CW$17)*'Infill Capacities'!$CQ$7*('Infill Capacities'!$CS$17)+'Infill Capacities'!$CM$17),(AND((O129&gt;'Infill Capacities'!$CX$17),(O129&lt;='Infill Capacities'!$CY$17))),((O129-'Infill Capacities'!$CX$17)*'Infill Capacities'!$CQ$7*('Infill Capacities'!$CT$17)+'Infill Capacities'!$CN$17),(AND((O129&gt;'Infill Capacities'!$CY$17),(O129&lt;='Infill Capacities'!$CZ$17))),((O129-'Infill Capacities'!$CY$17)*'Infill Capacities'!$CQ$7*('Infill Capacities'!$CU$17)+'Infill Capacities'!$CP$17))+_xlfn.IFS((O129&lt;='Frame Capacities'!$BO$17),(O129*'Frame Capacities'!$BH$7*'Frame Capacities'!$BI$17),(AND((O129&gt;'Frame Capacities'!$BO$17),(O129&lt;='Frame Capacities'!$BP$17))),((O129-'Frame Capacities'!$BO$17)*'Frame Capacities'!$BH$7*('Frame Capacities'!$BJ$17)+'Frame Capacities'!$BC$17),(AND((O129&gt;'Frame Capacities'!$BP$17),(O129&lt;='Frame Capacities'!$BQ$17))),((O129-'Frame Capacities'!$BP$17)*'Frame Capacities'!$BH$7*('Frame Capacities'!$BK$17)+'Frame Capacities'!$BD$17),(AND((O129&gt;'Frame Capacities'!$BQ$17),(O129&lt;='Frame Capacities'!$BR$17))),((O129-'Frame Capacities'!$BQ$17)*'Frame Capacities'!$BH$7*('Frame Capacities'!$BL$17)+'Frame Capacities'!$BE$17))</f>
        <v>84.645179741290264</v>
      </c>
      <c r="U129" s="431">
        <f>U128+T129*K129</f>
        <v>678.01718699829166</v>
      </c>
      <c r="V129" s="494">
        <v>0</v>
      </c>
      <c r="W129" s="47"/>
      <c r="X129" s="69">
        <v>3</v>
      </c>
      <c r="Y129" s="70">
        <f>'Structural Information'!$Z$9</f>
        <v>40.367000000000004</v>
      </c>
      <c r="Z129" s="70">
        <f t="shared" si="82"/>
        <v>0.21901286411713081</v>
      </c>
      <c r="AA129" s="70">
        <f t="shared" si="83"/>
        <v>1.9163625610248947</v>
      </c>
      <c r="AB129" s="351" t="s">
        <v>383</v>
      </c>
    </row>
    <row r="130" spans="2:28" x14ac:dyDescent="0.25">
      <c r="B130" s="68">
        <f>B131+3</f>
        <v>5.75</v>
      </c>
      <c r="C130" s="68">
        <v>2</v>
      </c>
      <c r="D130" s="71">
        <v>7.7341500000000004E-3</v>
      </c>
      <c r="E130" s="71">
        <v>1.08799E-2</v>
      </c>
      <c r="F130" s="71">
        <v>2.3467600000000002E-2</v>
      </c>
      <c r="G130" s="71">
        <v>2.9210300000000002E-2</v>
      </c>
      <c r="H130" s="516">
        <v>6.5650696937047566E-4</v>
      </c>
      <c r="I130" s="513"/>
      <c r="J130" s="489">
        <v>2</v>
      </c>
      <c r="K130" s="431">
        <f>'Structural Information'!$U$10</f>
        <v>3</v>
      </c>
      <c r="L130" s="431">
        <f>L131+K130</f>
        <v>5.75</v>
      </c>
      <c r="M130" s="490">
        <f>'Yield Mechanism'!$X$61</f>
        <v>3.5882354553208335E-3</v>
      </c>
      <c r="N130" s="71">
        <f>M130-M131</f>
        <v>1.9245771380911512E-3</v>
      </c>
      <c r="O130" s="491">
        <f t="shared" si="81"/>
        <v>6.4152571269705035E-4</v>
      </c>
      <c r="P130" s="490">
        <f>$C$30</f>
        <v>6.7523273096129852E-3</v>
      </c>
      <c r="Q130" s="490">
        <f>$D$30</f>
        <v>1.7342707198796904E-3</v>
      </c>
      <c r="R130" s="70">
        <f>O130/P130</f>
        <v>9.5008088808689564E-2</v>
      </c>
      <c r="S130" s="70">
        <f t="shared" ref="S130:S131" si="86">O130/Q130</f>
        <v>0.36991094028362204</v>
      </c>
      <c r="T130" s="431">
        <f>_xlfn.IFS((O130&lt;='Infill Capacities'!$CW$18),(O130*'Infill Capacities'!$CR$18*'Infill Capacities'!$CQ$8),(AND((O130&gt;'Infill Capacities'!$CW$18),(O130&lt;='Infill Capacities'!$CX$18))),((O130-'Infill Capacities'!$CW$18)*'Infill Capacities'!$CQ$8*('Infill Capacities'!$CS$18)+'Infill Capacities'!$CM$18),(AND((O130&gt;'Infill Capacities'!$CX$18),(O130&lt;='Infill Capacities'!$CY$18))),((O130-'Infill Capacities'!$CX$18)*'Infill Capacities'!$CQ$8*('Infill Capacities'!$CT$18)+'Infill Capacities'!$CN$18),(AND((O130&gt;'Infill Capacities'!$CY$18),(O130&lt;='Infill Capacities'!$CZ$18))),((O130-'Infill Capacities'!$CY$18)*'Infill Capacities'!$CQ$8*('Infill Capacities'!$CU$18)+'Infill Capacities'!$CP$18))+_xlfn.IFS((O130&lt;='Frame Capacities'!$BO$18),(O130*'Frame Capacities'!$BH$8*'Frame Capacities'!$BI$18),(AND((O130&gt;'Frame Capacities'!$BO$18),(O130&lt;='Frame Capacities'!$BP$18))),((O130-'Frame Capacities'!$BO$18)*'Frame Capacities'!$BH$8*('Frame Capacities'!$BJ$18)+'Frame Capacities'!$BC$18),(AND((O130&gt;'Frame Capacities'!$BP$18),(O130&lt;='Frame Capacities'!$BQ$18))),((O130-'Frame Capacities'!$BP$18)*'Frame Capacities'!$BH$8*('Frame Capacities'!$BK$18)+'Frame Capacities'!$BD$18),(AND((O130&gt;'Frame Capacities'!$BQ$18),(O130&lt;='Frame Capacities'!$BR$18))),((O130-'Frame Capacities'!$BQ$18)*'Frame Capacities'!$BH$8*('Frame Capacities'!$BL$18)+'Frame Capacities'!$BE$18))</f>
        <v>95.136009639951936</v>
      </c>
      <c r="U130" s="431">
        <f>U129+T130*K130</f>
        <v>963.4252159181475</v>
      </c>
      <c r="V130" s="492"/>
      <c r="W130" s="47"/>
      <c r="X130" s="69">
        <v>2</v>
      </c>
      <c r="Y130" s="70">
        <f>'Structural Information'!$Z$10</f>
        <v>40.367000000000004</v>
      </c>
      <c r="Z130" s="70">
        <f t="shared" si="82"/>
        <v>0.14484630062493611</v>
      </c>
      <c r="AA130" s="70">
        <f t="shared" si="83"/>
        <v>0.83286622859338266</v>
      </c>
      <c r="AB130" s="70">
        <f>(('Structural Information'!$Z$6*M126+'Structural Information'!$Z$7*M127+'Structural Information'!$Z$8*M128+'Structural Information'!$Z$9*M129+'Structural Information'!$Z$10*M130+'Structural Information'!$Z$11*M131)^2)/('Structural Information'!$Z$6*M126*M126+'Structural Information'!$Z$7*M127*M127+'Structural Information'!$Z$8*M128*M128+'Structural Information'!$Z$9*M129*M129+'Structural Information'!$Z$10*M130*M130+'Structural Information'!$Z$11*M131*M131)</f>
        <v>200.77844728267124</v>
      </c>
    </row>
    <row r="131" spans="2:28" x14ac:dyDescent="0.25">
      <c r="B131" s="68">
        <v>2.75</v>
      </c>
      <c r="C131" s="68">
        <v>1</v>
      </c>
      <c r="D131" s="71">
        <v>3.2922799999999999E-3</v>
      </c>
      <c r="E131" s="71">
        <v>4.2959299999999999E-3</v>
      </c>
      <c r="F131" s="71">
        <v>8.1952499999999994E-3</v>
      </c>
      <c r="G131" s="71">
        <v>9.1464500000000004E-3</v>
      </c>
      <c r="H131" s="516">
        <v>2.2521025232486759E-4</v>
      </c>
      <c r="I131" s="513"/>
      <c r="J131" s="489">
        <v>1</v>
      </c>
      <c r="K131" s="431">
        <f>'Structural Information'!$U$11</f>
        <v>2.75</v>
      </c>
      <c r="L131" s="431">
        <f>K131</f>
        <v>2.75</v>
      </c>
      <c r="M131" s="490">
        <f>'Yield Mechanism'!$X$62</f>
        <v>1.6636583172296823E-3</v>
      </c>
      <c r="N131" s="71">
        <f>M131</f>
        <v>1.6636583172296823E-3</v>
      </c>
      <c r="O131" s="491">
        <f t="shared" si="81"/>
        <v>6.0496666081079353E-4</v>
      </c>
      <c r="P131" s="490">
        <f>$C$31</f>
        <v>5.3120868684138484E-3</v>
      </c>
      <c r="Q131" s="490">
        <f>$D$31</f>
        <v>1.7606502644787157E-3</v>
      </c>
      <c r="R131" s="70">
        <f t="shared" ref="R131" si="87">O131/P131</f>
        <v>0.11388493369865246</v>
      </c>
      <c r="S131" s="70">
        <f t="shared" si="86"/>
        <v>0.34360410640094324</v>
      </c>
      <c r="T131" s="431">
        <f>_xlfn.IFS((O131&lt;='Infill Capacities'!$CW$19),(O131*'Infill Capacities'!$CR$19*'Infill Capacities'!$CQ$9),(AND((O131&gt;'Infill Capacities'!$CW$19),(O131&lt;='Infill Capacities'!$CX$19))),((O131-'Infill Capacities'!$CW$19)*'Infill Capacities'!$CQ$9*('Infill Capacities'!$CS$19)+'Infill Capacities'!$CM$19),(AND((O131&gt;'Infill Capacities'!$CX$19),(O131&lt;='Infill Capacities'!$CY$19))),((O131-'Infill Capacities'!$CX$19)*'Infill Capacities'!$CQ$9*('Infill Capacities'!$CT$19)+'Infill Capacities'!$CN$19),(AND((O131&gt;'Infill Capacities'!$CY$19),(O131&lt;='Infill Capacities'!$CZ$19))),((O131-'Infill Capacities'!$CY$19)*'Infill Capacities'!$CQ$9*('Infill Capacities'!$CU$19)+'Infill Capacities'!$CP$19))+_xlfn.IFS((O131&lt;='Frame Capacities'!$BO$19),(O131*'Frame Capacities'!$BH$9*'Frame Capacities'!$BI$19),(AND((O131&gt;'Frame Capacities'!$BO$19),(O131&lt;='Frame Capacities'!$BP$19))),((O131-'Frame Capacities'!$BO$19)*'Frame Capacities'!$BH$9*('Frame Capacities'!$BJ$19)+'Frame Capacities'!$BC$19),(AND((O131&gt;'Frame Capacities'!$BP$19),(O131&lt;='Frame Capacities'!$BQ$19))),((O131-'Frame Capacities'!$BP$19)*'Frame Capacities'!$BH$9*('Frame Capacities'!$BK$19)+'Frame Capacities'!$BD$19),(AND((O131&gt;'Frame Capacities'!$BQ$19),(O131&lt;='Frame Capacities'!$BR$19))),((O131-'Frame Capacities'!$BQ$19)*'Frame Capacities'!$BH$9*('Frame Capacities'!$BL$19)+'Frame Capacities'!$BE$19))</f>
        <v>99.99999227978364</v>
      </c>
      <c r="U131" s="431">
        <f>U130+T131*K131</f>
        <v>1238.4251946875524</v>
      </c>
      <c r="V131" s="495"/>
      <c r="W131" s="47"/>
      <c r="X131" s="69">
        <v>1</v>
      </c>
      <c r="Y131" s="70">
        <f>'Structural Information'!$Z$11</f>
        <v>40.367000000000004</v>
      </c>
      <c r="Z131" s="70">
        <f t="shared" si="82"/>
        <v>6.7156895291610591E-2</v>
      </c>
      <c r="AA131" s="70">
        <f t="shared" si="83"/>
        <v>0.18468146205192912</v>
      </c>
      <c r="AB131" s="68" t="s">
        <v>382</v>
      </c>
    </row>
    <row r="132" spans="2:28" x14ac:dyDescent="0.25">
      <c r="B132" s="514">
        <v>0</v>
      </c>
      <c r="C132" s="68">
        <v>0</v>
      </c>
      <c r="D132" s="71">
        <v>0</v>
      </c>
      <c r="E132" s="71">
        <v>0</v>
      </c>
      <c r="F132" s="71">
        <v>0</v>
      </c>
      <c r="G132" s="71">
        <v>0</v>
      </c>
      <c r="H132" s="516">
        <v>0</v>
      </c>
      <c r="I132" s="513"/>
      <c r="X132" s="496"/>
      <c r="Y132" s="68" t="s">
        <v>95</v>
      </c>
      <c r="Z132" s="497">
        <f>SUM(Z126:Z131)</f>
        <v>1.3806947246626657</v>
      </c>
      <c r="AA132" s="497">
        <f>SUM(AA126:AA131)</f>
        <v>17.098871541857882</v>
      </c>
      <c r="AB132" s="430">
        <f>2*PI()*SQRT(AB130/AB128)</f>
        <v>0.83852635202767545</v>
      </c>
    </row>
    <row r="134" spans="2:28" x14ac:dyDescent="0.25">
      <c r="B134" s="964" t="s">
        <v>139</v>
      </c>
      <c r="C134" s="965"/>
      <c r="D134" s="965"/>
      <c r="E134" s="965"/>
      <c r="F134" s="965"/>
      <c r="G134" s="965"/>
      <c r="H134" s="966"/>
      <c r="J134" s="944" t="s">
        <v>386</v>
      </c>
      <c r="K134" s="945"/>
      <c r="L134" s="945"/>
      <c r="M134" s="945"/>
      <c r="N134" s="945"/>
      <c r="O134" s="945"/>
      <c r="P134" s="945"/>
      <c r="Q134" s="945"/>
      <c r="R134" s="945"/>
      <c r="S134" s="945"/>
      <c r="T134" s="945"/>
      <c r="U134" s="945"/>
      <c r="V134" s="946"/>
      <c r="X134" s="927" t="s">
        <v>124</v>
      </c>
      <c r="Y134" s="927"/>
      <c r="Z134" s="927"/>
      <c r="AA134" s="927"/>
      <c r="AB134" s="927"/>
    </row>
    <row r="135" spans="2:28" x14ac:dyDescent="0.25">
      <c r="B135" s="590" t="s">
        <v>9</v>
      </c>
      <c r="C135" s="590" t="s">
        <v>133</v>
      </c>
      <c r="D135" s="590" t="s">
        <v>134</v>
      </c>
      <c r="E135" s="590" t="s">
        <v>135</v>
      </c>
      <c r="F135" s="590" t="s">
        <v>136</v>
      </c>
      <c r="G135" s="590" t="s">
        <v>137</v>
      </c>
      <c r="H135" s="590" t="s">
        <v>138</v>
      </c>
      <c r="J135" s="590" t="s">
        <v>9</v>
      </c>
      <c r="K135" s="588" t="s">
        <v>3</v>
      </c>
      <c r="L135" s="588" t="s">
        <v>89</v>
      </c>
      <c r="M135" s="590" t="s">
        <v>91</v>
      </c>
      <c r="N135" s="590" t="s">
        <v>98</v>
      </c>
      <c r="O135" s="588" t="s">
        <v>119</v>
      </c>
      <c r="P135" s="588" t="s">
        <v>286</v>
      </c>
      <c r="Q135" s="588" t="s">
        <v>287</v>
      </c>
      <c r="R135" s="590" t="s">
        <v>457</v>
      </c>
      <c r="S135" s="590" t="s">
        <v>458</v>
      </c>
      <c r="T135" s="590" t="s">
        <v>92</v>
      </c>
      <c r="U135" s="588" t="s">
        <v>120</v>
      </c>
      <c r="V135" s="590" t="s">
        <v>96</v>
      </c>
      <c r="X135" s="590" t="s">
        <v>9</v>
      </c>
      <c r="Y135" s="924" t="s">
        <v>93</v>
      </c>
      <c r="Z135" s="924" t="s">
        <v>94</v>
      </c>
      <c r="AA135" s="924" t="s">
        <v>122</v>
      </c>
      <c r="AB135" s="588" t="s">
        <v>123</v>
      </c>
    </row>
    <row r="136" spans="2:28" x14ac:dyDescent="0.25">
      <c r="B136" s="590"/>
      <c r="C136" s="590"/>
      <c r="D136" s="590"/>
      <c r="E136" s="590"/>
      <c r="F136" s="590"/>
      <c r="G136" s="590"/>
      <c r="H136" s="590"/>
      <c r="J136" s="590"/>
      <c r="K136" s="588"/>
      <c r="L136" s="588"/>
      <c r="M136" s="590"/>
      <c r="N136" s="590"/>
      <c r="O136" s="588"/>
      <c r="P136" s="588"/>
      <c r="Q136" s="588"/>
      <c r="R136" s="590"/>
      <c r="S136" s="590"/>
      <c r="T136" s="590"/>
      <c r="U136" s="588"/>
      <c r="V136" s="590"/>
      <c r="X136" s="590"/>
      <c r="Y136" s="924"/>
      <c r="Z136" s="924"/>
      <c r="AA136" s="924"/>
      <c r="AB136" s="588"/>
    </row>
    <row r="137" spans="2:28" x14ac:dyDescent="0.25">
      <c r="B137" s="517">
        <v>6</v>
      </c>
      <c r="C137" s="71">
        <f t="shared" ref="C137:C143" si="88">M5-H126</f>
        <v>7.7057249062742542E-3</v>
      </c>
      <c r="D137" s="71">
        <f t="shared" ref="D137:D142" si="89">M16-H126</f>
        <v>7.7057249062742542E-3</v>
      </c>
      <c r="E137" s="71">
        <f t="shared" ref="E137:E142" si="90">M27-H126</f>
        <v>7.7057249062742542E-3</v>
      </c>
      <c r="F137" s="71">
        <f t="shared" ref="F137:F142" si="91">M38-H126</f>
        <v>7.7057249062742542E-3</v>
      </c>
      <c r="G137" s="71">
        <f t="shared" ref="G137:G142" si="92">M49-H126</f>
        <v>7.7057249062742542E-3</v>
      </c>
      <c r="H137" s="71">
        <f t="shared" ref="H137:H142" si="93">M104-H126</f>
        <v>7.7057249062742542E-3</v>
      </c>
      <c r="J137" s="489">
        <v>6</v>
      </c>
      <c r="K137" s="431">
        <f>'Structural Information'!$U$6</f>
        <v>3</v>
      </c>
      <c r="L137" s="431">
        <f>L138+K137</f>
        <v>17.75</v>
      </c>
      <c r="M137" s="490">
        <f>'Yield Mechanism'!$X$57</f>
        <v>8.8706729885236167E-3</v>
      </c>
      <c r="N137" s="71">
        <f>M137-M138</f>
        <v>6.7920838535619546E-4</v>
      </c>
      <c r="O137" s="491">
        <f t="shared" ref="O137:O142" si="94">N137/K137</f>
        <v>2.2640279511873182E-4</v>
      </c>
      <c r="P137" s="490">
        <f>$C$26</f>
        <v>8.3119145368492249E-3</v>
      </c>
      <c r="Q137" s="490">
        <f>$D$26</f>
        <v>2.2387978504494433E-3</v>
      </c>
      <c r="R137" s="70">
        <f>O137/P137</f>
        <v>2.7238344922222182E-2</v>
      </c>
      <c r="S137" s="70">
        <f>O137/Q137</f>
        <v>0.10112694858684136</v>
      </c>
      <c r="T137" s="431">
        <f>_xlfn.IFS((O137&lt;='Infill Capacities'!$CW$14),(O137*'Infill Capacities'!$CR$14*'Infill Capacities'!$CQ$4),(AND((O137&gt;'Infill Capacities'!$CW$14),(O137&lt;='Infill Capacities'!$CX$14))),((O137-'Infill Capacities'!$CW$14)*'Infill Capacities'!$CQ$4*('Infill Capacities'!$CS$14)+'Infill Capacities'!$CM$14),(AND((O137&gt;'Infill Capacities'!$CX$14),(O137&lt;='Infill Capacities'!$CY$14))),((O137-'Infill Capacities'!$CX$14)*'Infill Capacities'!$CQ$4*('Infill Capacities'!$CT$14)+'Infill Capacities'!$CN$14),(AND((O137&gt;'Infill Capacities'!$CY$14),(O137&lt;='Infill Capacities'!$CZ$14))),((O137-'Infill Capacities'!$CY$14)*'Infill Capacities'!$CQ$4*('Infill Capacities'!$CU$14)+'Infill Capacities'!$CP$14))+_xlfn.IFS((O137&lt;='Frame Capacities'!$BO$14),(O137*'Frame Capacities'!$BH$4*'Frame Capacities'!$BI$14),(AND((O137&gt;'Frame Capacities'!$BO$14),(O137&lt;='Frame Capacities'!$BP$14))),((O137-'Frame Capacities'!$BO$14)*'Frame Capacities'!$BH$4*('Frame Capacities'!$BJ$14)+'Frame Capacities'!$BC$14),(AND((O137&gt;'Frame Capacities'!$BP$14),(O137&lt;='Frame Capacities'!$BQ$14))),((O137-'Frame Capacities'!$BP$14)*'Frame Capacities'!$BH$4*('Frame Capacities'!$BK$14)+'Frame Capacities'!$BD$14),(AND((O137&gt;'Frame Capacities'!$BQ$14),(O137&lt;='Frame Capacities'!$BR$14))),((O137-'Frame Capacities'!$BQ$14)*'Frame Capacities'!$BH$4*('Frame Capacities'!$BL$14)+'Frame Capacities'!$BE$14))</f>
        <v>24.314358638495708</v>
      </c>
      <c r="U137" s="431">
        <f>K137*T137</f>
        <v>72.943075915487128</v>
      </c>
      <c r="V137" s="70">
        <f>U142/AB137</f>
        <v>99.999998772354672</v>
      </c>
      <c r="W137" s="47"/>
      <c r="X137" s="69">
        <v>6</v>
      </c>
      <c r="Y137" s="70">
        <f>'Structural Information'!$Z$6</f>
        <v>37.8446</v>
      </c>
      <c r="Z137" s="70">
        <f t="shared" ref="Z137:Z142" si="95">Y137*M137</f>
        <v>0.33570707098148084</v>
      </c>
      <c r="AA137" s="70">
        <f t="shared" ref="AA137:AA142" si="96">Z137*L137</f>
        <v>5.9588005099212848</v>
      </c>
      <c r="AB137" s="70">
        <f>AA143/Z143</f>
        <v>12.384252098910217</v>
      </c>
    </row>
    <row r="138" spans="2:28" x14ac:dyDescent="0.25">
      <c r="B138" s="517">
        <v>5</v>
      </c>
      <c r="C138" s="71">
        <f t="shared" si="88"/>
        <v>6.9738278327811307E-3</v>
      </c>
      <c r="D138" s="71">
        <f t="shared" si="89"/>
        <v>6.9738278327811307E-3</v>
      </c>
      <c r="E138" s="71">
        <f t="shared" si="90"/>
        <v>6.9738278327811307E-3</v>
      </c>
      <c r="F138" s="71">
        <f t="shared" si="91"/>
        <v>6.9738278327811307E-3</v>
      </c>
      <c r="G138" s="71">
        <f t="shared" si="92"/>
        <v>6.9738278327811307E-3</v>
      </c>
      <c r="H138" s="71">
        <f t="shared" si="93"/>
        <v>6.9738278327811307E-3</v>
      </c>
      <c r="I138" s="518"/>
      <c r="J138" s="489">
        <v>5</v>
      </c>
      <c r="K138" s="431">
        <f>'Structural Information'!$U$7</f>
        <v>3</v>
      </c>
      <c r="L138" s="431">
        <f>L139+K138</f>
        <v>14.75</v>
      </c>
      <c r="M138" s="490">
        <f>'Yield Mechanism'!$X$58</f>
        <v>8.1914646031674213E-3</v>
      </c>
      <c r="N138" s="71">
        <f>M138-M139</f>
        <v>1.1731887339810039E-3</v>
      </c>
      <c r="O138" s="491">
        <f t="shared" si="94"/>
        <v>3.9106291132700129E-4</v>
      </c>
      <c r="P138" s="490">
        <f>$C$27</f>
        <v>9.597600000000003E-3</v>
      </c>
      <c r="Q138" s="490">
        <f>$D$27</f>
        <v>1.92360761471166E-3</v>
      </c>
      <c r="R138" s="70">
        <f t="shared" ref="R138:R140" si="97">O138/P138</f>
        <v>4.0745906406497577E-2</v>
      </c>
      <c r="S138" s="70">
        <f t="shared" ref="S138:S139" si="98">O138/Q138</f>
        <v>0.20329661222807119</v>
      </c>
      <c r="T138" s="431">
        <f>_xlfn.IFS((O138&lt;='Infill Capacities'!$CW$15),(O138*'Infill Capacities'!$CR$15*'Infill Capacities'!$CQ$5),(AND((O138&gt;'Infill Capacities'!$CW$15),(O138&lt;='Infill Capacities'!$CX$15))),((O138-'Infill Capacities'!$CW$15)*'Infill Capacities'!$CQ$5*('Infill Capacities'!$CS$15)+'Infill Capacities'!$CM$15),(AND((O138&gt;'Infill Capacities'!$CX$15),(O138&lt;='Infill Capacities'!$CY$15))),((O138-'Infill Capacities'!$CX$15)*'Infill Capacities'!$CQ$5*('Infill Capacities'!$CT$15)+'Infill Capacities'!$CN$15),(AND((O138&gt;'Infill Capacities'!$CY$15),(O138&lt;='Infill Capacities'!$CZ$15))),((O138-'Infill Capacities'!$CY$15)*'Infill Capacities'!$CQ$5*('Infill Capacities'!$CU$15)+'Infill Capacities'!$CP$15))+_xlfn.IFS((O138&lt;='Frame Capacities'!$BO$15),(O138*'Frame Capacities'!$BH$5*'Frame Capacities'!$BI$15),(AND((O138&gt;'Frame Capacities'!$BO$15),(O138&lt;='Frame Capacities'!$BP$15))),((O138-'Frame Capacities'!$BO$15)*'Frame Capacities'!$BH$5*('Frame Capacities'!$BJ$15)+'Frame Capacities'!$BC$15),(AND((O138&gt;'Frame Capacities'!$BP$15),(O138&lt;='Frame Capacities'!$BQ$15))),((O138-'Frame Capacities'!$BP$15)*'Frame Capacities'!$BH$5*('Frame Capacities'!$BK$15)+'Frame Capacities'!$BD$15),(AND((O138&gt;'Frame Capacities'!$BQ$15),(O138&lt;='Frame Capacities'!$BR$15))),((O138-'Frame Capacities'!$BQ$15)*'Frame Capacities'!$BH$5*('Frame Capacities'!$BL$15)+'Frame Capacities'!$BE$15))</f>
        <v>48.263523243971207</v>
      </c>
      <c r="U138" s="431">
        <f>U137+T138*K138</f>
        <v>217.73364564740075</v>
      </c>
      <c r="V138" s="492"/>
      <c r="W138" s="47"/>
      <c r="X138" s="69">
        <v>5</v>
      </c>
      <c r="Y138" s="70">
        <f>'Structural Information'!$Z$7</f>
        <v>40.367000000000004</v>
      </c>
      <c r="Z138" s="70">
        <f t="shared" si="95"/>
        <v>0.33066485163605935</v>
      </c>
      <c r="AA138" s="70">
        <f t="shared" si="96"/>
        <v>4.8773065616318751</v>
      </c>
      <c r="AB138" s="68" t="s">
        <v>381</v>
      </c>
    </row>
    <row r="139" spans="2:28" x14ac:dyDescent="0.25">
      <c r="B139" s="517">
        <v>4</v>
      </c>
      <c r="C139" s="71">
        <f t="shared" si="88"/>
        <v>5.8262665026215183E-3</v>
      </c>
      <c r="D139" s="71">
        <f t="shared" si="89"/>
        <v>5.8262665026215183E-3</v>
      </c>
      <c r="E139" s="71">
        <f t="shared" si="90"/>
        <v>5.8262665026215183E-3</v>
      </c>
      <c r="F139" s="71">
        <f t="shared" si="91"/>
        <v>5.8262665026215183E-3</v>
      </c>
      <c r="G139" s="71">
        <f t="shared" si="92"/>
        <v>5.8262665026215183E-3</v>
      </c>
      <c r="H139" s="71">
        <f t="shared" si="93"/>
        <v>5.8262665026215183E-3</v>
      </c>
      <c r="I139" s="518"/>
      <c r="J139" s="489">
        <v>4</v>
      </c>
      <c r="K139" s="431">
        <f>'Structural Information'!$U$8</f>
        <v>3</v>
      </c>
      <c r="L139" s="431">
        <f>L140+K139</f>
        <v>11.75</v>
      </c>
      <c r="M139" s="490">
        <f>'Yield Mechanism'!$X$59</f>
        <v>7.0182758691864173E-3</v>
      </c>
      <c r="N139" s="491">
        <f>M139-M140</f>
        <v>1.5927336164272138E-3</v>
      </c>
      <c r="O139" s="491">
        <f t="shared" si="94"/>
        <v>5.3091120547573789E-4</v>
      </c>
      <c r="P139" s="490">
        <f>$C$28</f>
        <v>9.015519176800749E-3</v>
      </c>
      <c r="Q139" s="490">
        <f>$D$28</f>
        <v>1.852250472241956E-3</v>
      </c>
      <c r="R139" s="70">
        <f t="shared" si="97"/>
        <v>5.8888589227552093E-2</v>
      </c>
      <c r="S139" s="70">
        <f t="shared" si="98"/>
        <v>0.28663035233735168</v>
      </c>
      <c r="T139" s="431">
        <f>_xlfn.IFS((O139&lt;='Infill Capacities'!$CW$16),(O139*'Infill Capacities'!$CR$16*'Infill Capacities'!$CQ$6),(AND((O139&gt;'Infill Capacities'!$CW$16),(O139&lt;='Infill Capacities'!$CX$16))),((O139-'Infill Capacities'!$CW$16)*'Infill Capacities'!$CQ$6*('Infill Capacities'!$CS$16)+'Infill Capacities'!$CM$16),(AND((O139&gt;'Infill Capacities'!$CX$16),(O139&lt;='Infill Capacities'!$CY$16))),((O139-'Infill Capacities'!$CX$16)*'Infill Capacities'!$CQ$6*('Infill Capacities'!$CT$16)+'Infill Capacities'!$CN$16),(AND((O139&gt;'Infill Capacities'!$CY$16),(O139&lt;='Infill Capacities'!$CZ$16))),((O139-'Infill Capacities'!$CY$16)*'Infill Capacities'!$CQ$6*('Infill Capacities'!$CU$16)+'Infill Capacities'!$CP$16))+_xlfn.IFS((O139&lt;='Frame Capacities'!$BO$16),(O139*'Frame Capacities'!$BH$6*'Frame Capacities'!$BI$16),(AND((O139&gt;'Frame Capacities'!$BO$16),(O139&lt;='Frame Capacities'!$BP$16))),((O139-'Frame Capacities'!$BO$16)*'Frame Capacities'!$BH$6*('Frame Capacities'!$BJ$16)+'Frame Capacities'!$BC$16),(AND((O139&gt;'Frame Capacities'!$BP$16),(O139&lt;='Frame Capacities'!$BQ$16))),((O139-'Frame Capacities'!$BP$16)*'Frame Capacities'!$BH$6*('Frame Capacities'!$BK$16)+'Frame Capacities'!$BD$16),(AND((O139&gt;'Frame Capacities'!$BQ$16),(O139&lt;='Frame Capacities'!$BR$16))),((O139-'Frame Capacities'!$BQ$16)*'Frame Capacities'!$BH$6*('Frame Capacities'!$BL$16)+'Frame Capacities'!$BE$16))</f>
        <v>68.782667375673356</v>
      </c>
      <c r="U139" s="431">
        <f>U138+T139*K139</f>
        <v>424.08164777442084</v>
      </c>
      <c r="V139" s="493" t="s">
        <v>130</v>
      </c>
      <c r="W139" s="47"/>
      <c r="X139" s="69">
        <v>4</v>
      </c>
      <c r="Y139" s="70">
        <f>'Structural Information'!$Z$8</f>
        <v>40.367000000000004</v>
      </c>
      <c r="Z139" s="70">
        <f t="shared" si="95"/>
        <v>0.28330674201144812</v>
      </c>
      <c r="AA139" s="70">
        <f t="shared" si="96"/>
        <v>3.3288542186345156</v>
      </c>
      <c r="AB139" s="430">
        <f>T142/M137</f>
        <v>11273.100970936261</v>
      </c>
    </row>
    <row r="140" spans="2:28" x14ac:dyDescent="0.25">
      <c r="B140" s="517">
        <v>3</v>
      </c>
      <c r="C140" s="71">
        <f t="shared" si="88"/>
        <v>4.4646886891323454E-3</v>
      </c>
      <c r="D140" s="71">
        <f t="shared" si="89"/>
        <v>4.4646886891323454E-3</v>
      </c>
      <c r="E140" s="71">
        <f t="shared" si="90"/>
        <v>4.4646886891323454E-3</v>
      </c>
      <c r="F140" s="71">
        <f t="shared" si="91"/>
        <v>4.4646886891323454E-3</v>
      </c>
      <c r="G140" s="71">
        <f t="shared" si="92"/>
        <v>4.4646886891323454E-3</v>
      </c>
      <c r="H140" s="71">
        <f t="shared" si="93"/>
        <v>4.4646886891323454E-3</v>
      </c>
      <c r="J140" s="489">
        <v>3</v>
      </c>
      <c r="K140" s="431">
        <f>'Structural Information'!$U$9</f>
        <v>3</v>
      </c>
      <c r="L140" s="431">
        <f>L141+K140</f>
        <v>8.75</v>
      </c>
      <c r="M140" s="490">
        <f>'Yield Mechanism'!$X$60</f>
        <v>5.4255422527592035E-3</v>
      </c>
      <c r="N140" s="71">
        <f>M140-M141</f>
        <v>1.83730679743837E-3</v>
      </c>
      <c r="O140" s="491">
        <f t="shared" si="94"/>
        <v>6.1243559914612338E-4</v>
      </c>
      <c r="P140" s="490">
        <f>$C$29</f>
        <v>8.5822017391304368E-3</v>
      </c>
      <c r="Q140" s="490">
        <f>$D$29</f>
        <v>1.7915672005543457E-3</v>
      </c>
      <c r="R140" s="431">
        <f t="shared" si="97"/>
        <v>7.1361128270118757E-2</v>
      </c>
      <c r="S140" s="70">
        <f>O140/Q140</f>
        <v>0.34184349822692889</v>
      </c>
      <c r="T140" s="431">
        <f>_xlfn.IFS((O140&lt;='Infill Capacities'!$CW$17),(O140*'Infill Capacities'!$CR$17*'Infill Capacities'!$CQ$7),(AND((O140&gt;'Infill Capacities'!$CW$17),(O140&lt;='Infill Capacities'!$CX$17))),((O140-'Infill Capacities'!$CW$17)*'Infill Capacities'!$CQ$7*('Infill Capacities'!$CS$17)+'Infill Capacities'!$CM$17),(AND((O140&gt;'Infill Capacities'!$CX$17),(O140&lt;='Infill Capacities'!$CY$17))),((O140-'Infill Capacities'!$CX$17)*'Infill Capacities'!$CQ$7*('Infill Capacities'!$CT$17)+'Infill Capacities'!$CN$17),(AND((O140&gt;'Infill Capacities'!$CY$17),(O140&lt;='Infill Capacities'!$CZ$17))),((O140-'Infill Capacities'!$CY$17)*'Infill Capacities'!$CQ$7*('Infill Capacities'!$CU$17)+'Infill Capacities'!$CP$17))+_xlfn.IFS((O140&lt;='Frame Capacities'!$BO$17),(O140*'Frame Capacities'!$BH$7*'Frame Capacities'!$BI$17),(AND((O140&gt;'Frame Capacities'!$BO$17),(O140&lt;='Frame Capacities'!$BP$17))),((O140-'Frame Capacities'!$BO$17)*'Frame Capacities'!$BH$7*('Frame Capacities'!$BJ$17)+'Frame Capacities'!$BC$17),(AND((O140&gt;'Frame Capacities'!$BP$17),(O140&lt;='Frame Capacities'!$BQ$17))),((O140-'Frame Capacities'!$BP$17)*'Frame Capacities'!$BH$7*('Frame Capacities'!$BK$17)+'Frame Capacities'!$BD$17),(AND((O140&gt;'Frame Capacities'!$BQ$17),(O140&lt;='Frame Capacities'!$BR$17))),((O140-'Frame Capacities'!$BQ$17)*'Frame Capacities'!$BH$7*('Frame Capacities'!$BL$17)+'Frame Capacities'!$BE$17))</f>
        <v>84.645179741290264</v>
      </c>
      <c r="U140" s="431">
        <f>U139+T140*K140</f>
        <v>678.01718699829166</v>
      </c>
      <c r="V140" s="494">
        <v>0</v>
      </c>
      <c r="W140" s="47"/>
      <c r="X140" s="69">
        <v>3</v>
      </c>
      <c r="Y140" s="70">
        <f>'Structural Information'!$Z$9</f>
        <v>40.367000000000004</v>
      </c>
      <c r="Z140" s="70">
        <f t="shared" si="95"/>
        <v>0.21901286411713081</v>
      </c>
      <c r="AA140" s="70">
        <f t="shared" si="96"/>
        <v>1.9163625610248947</v>
      </c>
      <c r="AB140" s="351" t="s">
        <v>383</v>
      </c>
    </row>
    <row r="141" spans="2:28" x14ac:dyDescent="0.25">
      <c r="B141" s="517">
        <v>2</v>
      </c>
      <c r="C141" s="71">
        <f t="shared" si="88"/>
        <v>2.9317284859503578E-3</v>
      </c>
      <c r="D141" s="71">
        <f t="shared" si="89"/>
        <v>2.9317284859503578E-3</v>
      </c>
      <c r="E141" s="71">
        <f t="shared" si="90"/>
        <v>2.9317284859503578E-3</v>
      </c>
      <c r="F141" s="71">
        <f t="shared" si="91"/>
        <v>2.9317284859503578E-3</v>
      </c>
      <c r="G141" s="71">
        <f t="shared" si="92"/>
        <v>2.9317284859503578E-3</v>
      </c>
      <c r="H141" s="71">
        <f t="shared" si="93"/>
        <v>2.9317284859503578E-3</v>
      </c>
      <c r="J141" s="489">
        <v>2</v>
      </c>
      <c r="K141" s="431">
        <f>'Structural Information'!$U$10</f>
        <v>3</v>
      </c>
      <c r="L141" s="431">
        <f>L142+K141</f>
        <v>5.75</v>
      </c>
      <c r="M141" s="490">
        <f>'Yield Mechanism'!$X$61</f>
        <v>3.5882354553208335E-3</v>
      </c>
      <c r="N141" s="71">
        <f>M141-M142</f>
        <v>1.9245771380911512E-3</v>
      </c>
      <c r="O141" s="491">
        <f t="shared" si="94"/>
        <v>6.4152571269705035E-4</v>
      </c>
      <c r="P141" s="490">
        <f>$C$30</f>
        <v>6.7523273096129852E-3</v>
      </c>
      <c r="Q141" s="490">
        <f>$D$30</f>
        <v>1.7342707198796904E-3</v>
      </c>
      <c r="R141" s="70">
        <f>O141/P141</f>
        <v>9.5008088808689564E-2</v>
      </c>
      <c r="S141" s="70">
        <f t="shared" ref="S141:S142" si="99">O141/Q141</f>
        <v>0.36991094028362204</v>
      </c>
      <c r="T141" s="431">
        <f>_xlfn.IFS((O141&lt;='Infill Capacities'!$CW$18),(O141*'Infill Capacities'!$CR$18*'Infill Capacities'!$CQ$8),(AND((O141&gt;'Infill Capacities'!$CW$18),(O141&lt;='Infill Capacities'!$CX$18))),((O141-'Infill Capacities'!$CW$18)*'Infill Capacities'!$CQ$8*('Infill Capacities'!$CS$18)+'Infill Capacities'!$CM$18),(AND((O141&gt;'Infill Capacities'!$CX$18),(O141&lt;='Infill Capacities'!$CY$18))),((O141-'Infill Capacities'!$CX$18)*'Infill Capacities'!$CQ$8*('Infill Capacities'!$CT$18)+'Infill Capacities'!$CN$18),(AND((O141&gt;'Infill Capacities'!$CY$18),(O141&lt;='Infill Capacities'!$CZ$18))),((O141-'Infill Capacities'!$CY$18)*'Infill Capacities'!$CQ$8*('Infill Capacities'!$CU$18)+'Infill Capacities'!$CP$18))+_xlfn.IFS((O141&lt;='Frame Capacities'!$BO$18),(O141*'Frame Capacities'!$BH$8*'Frame Capacities'!$BI$18),(AND((O141&gt;'Frame Capacities'!$BO$18),(O141&lt;='Frame Capacities'!$BP$18))),((O141-'Frame Capacities'!$BO$18)*'Frame Capacities'!$BH$8*('Frame Capacities'!$BJ$18)+'Frame Capacities'!$BC$18),(AND((O141&gt;'Frame Capacities'!$BP$18),(O141&lt;='Frame Capacities'!$BQ$18))),((O141-'Frame Capacities'!$BP$18)*'Frame Capacities'!$BH$8*('Frame Capacities'!$BK$18)+'Frame Capacities'!$BD$18),(AND((O141&gt;'Frame Capacities'!$BQ$18),(O141&lt;='Frame Capacities'!$BR$18))),((O141-'Frame Capacities'!$BQ$18)*'Frame Capacities'!$BH$8*('Frame Capacities'!$BL$18)+'Frame Capacities'!$BE$18))</f>
        <v>95.136009639951936</v>
      </c>
      <c r="U141" s="431">
        <f>U140+T141*K141</f>
        <v>963.4252159181475</v>
      </c>
      <c r="V141" s="492"/>
      <c r="W141" s="47"/>
      <c r="X141" s="69">
        <v>2</v>
      </c>
      <c r="Y141" s="70">
        <f>'Structural Information'!$Z$10</f>
        <v>40.367000000000004</v>
      </c>
      <c r="Z141" s="70">
        <f t="shared" si="95"/>
        <v>0.14484630062493611</v>
      </c>
      <c r="AA141" s="70">
        <f t="shared" si="96"/>
        <v>0.83286622859338266</v>
      </c>
      <c r="AB141" s="70">
        <f>(('Structural Information'!$Z$6*M137+'Structural Information'!$Z$7*M138+'Structural Information'!$Z$8*M139+'Structural Information'!$Z$9*M140+'Structural Information'!$Z$10*M141+'Structural Information'!$Z$11*M142)^2)/('Structural Information'!$Z$6*M137*M137+'Structural Information'!$Z$7*M138*M138+'Structural Information'!$Z$8*M139*M139+'Structural Information'!$Z$9*M140*M140+'Structural Information'!$Z$10*M141*M141+'Structural Information'!$Z$11*M142*M142)</f>
        <v>200.77844728267124</v>
      </c>
    </row>
    <row r="142" spans="2:28" x14ac:dyDescent="0.25">
      <c r="B142" s="517">
        <v>1</v>
      </c>
      <c r="C142" s="71">
        <f t="shared" si="88"/>
        <v>1.4384480649048148E-3</v>
      </c>
      <c r="D142" s="71">
        <f t="shared" si="89"/>
        <v>1.4384480649048148E-3</v>
      </c>
      <c r="E142" s="71">
        <f t="shared" si="90"/>
        <v>1.4384480649048148E-3</v>
      </c>
      <c r="F142" s="71">
        <f t="shared" si="91"/>
        <v>1.4384480649048148E-3</v>
      </c>
      <c r="G142" s="71">
        <f t="shared" si="92"/>
        <v>1.4384480649048148E-3</v>
      </c>
      <c r="H142" s="71">
        <f t="shared" si="93"/>
        <v>1.4384480649048148E-3</v>
      </c>
      <c r="J142" s="489">
        <v>1</v>
      </c>
      <c r="K142" s="431">
        <f>'Structural Information'!$U$11</f>
        <v>2.75</v>
      </c>
      <c r="L142" s="431">
        <f>K142</f>
        <v>2.75</v>
      </c>
      <c r="M142" s="490">
        <f>'Yield Mechanism'!$X$62</f>
        <v>1.6636583172296823E-3</v>
      </c>
      <c r="N142" s="71">
        <f>M142</f>
        <v>1.6636583172296823E-3</v>
      </c>
      <c r="O142" s="491">
        <f t="shared" si="94"/>
        <v>6.0496666081079353E-4</v>
      </c>
      <c r="P142" s="490">
        <f>$C$31</f>
        <v>5.3120868684138484E-3</v>
      </c>
      <c r="Q142" s="490">
        <f>$D$31</f>
        <v>1.7606502644787157E-3</v>
      </c>
      <c r="R142" s="70">
        <f t="shared" ref="R142" si="100">O142/P142</f>
        <v>0.11388493369865246</v>
      </c>
      <c r="S142" s="70">
        <f t="shared" si="99"/>
        <v>0.34360410640094324</v>
      </c>
      <c r="T142" s="431">
        <f>_xlfn.IFS((O142&lt;='Infill Capacities'!$CW$19),(O142*'Infill Capacities'!$CR$19*'Infill Capacities'!$CQ$9),(AND((O142&gt;'Infill Capacities'!$CW$19),(O142&lt;='Infill Capacities'!$CX$19))),((O142-'Infill Capacities'!$CW$19)*'Infill Capacities'!$CQ$9*('Infill Capacities'!$CS$19)+'Infill Capacities'!$CM$19),(AND((O142&gt;'Infill Capacities'!$CX$19),(O142&lt;='Infill Capacities'!$CY$19))),((O142-'Infill Capacities'!$CX$19)*'Infill Capacities'!$CQ$9*('Infill Capacities'!$CT$19)+'Infill Capacities'!$CN$19),(AND((O142&gt;'Infill Capacities'!$CY$19),(O142&lt;='Infill Capacities'!$CZ$19))),((O142-'Infill Capacities'!$CY$19)*'Infill Capacities'!$CQ$9*('Infill Capacities'!$CU$19)+'Infill Capacities'!$CP$19))+_xlfn.IFS((O142&lt;='Frame Capacities'!$BO$19),(O142*'Frame Capacities'!$BH$9*'Frame Capacities'!$BI$19),(AND((O142&gt;'Frame Capacities'!$BO$19),(O142&lt;='Frame Capacities'!$BP$19))),((O142-'Frame Capacities'!$BO$19)*'Frame Capacities'!$BH$9*('Frame Capacities'!$BJ$19)+'Frame Capacities'!$BC$19),(AND((O142&gt;'Frame Capacities'!$BP$19),(O142&lt;='Frame Capacities'!$BQ$19))),((O142-'Frame Capacities'!$BP$19)*'Frame Capacities'!$BH$9*('Frame Capacities'!$BK$19)+'Frame Capacities'!$BD$19),(AND((O142&gt;'Frame Capacities'!$BQ$19),(O142&lt;='Frame Capacities'!$BR$19))),((O142-'Frame Capacities'!$BQ$19)*'Frame Capacities'!$BH$9*('Frame Capacities'!$BL$19)+'Frame Capacities'!$BE$19))</f>
        <v>99.99999227978364</v>
      </c>
      <c r="U142" s="431">
        <f>U141+T142*K142</f>
        <v>1238.4251946875524</v>
      </c>
      <c r="V142" s="495"/>
      <c r="W142" s="47"/>
      <c r="X142" s="69">
        <v>1</v>
      </c>
      <c r="Y142" s="70">
        <f>'Structural Information'!$Z$11</f>
        <v>40.367000000000004</v>
      </c>
      <c r="Z142" s="70">
        <f t="shared" si="95"/>
        <v>6.7156895291610591E-2</v>
      </c>
      <c r="AA142" s="70">
        <f t="shared" si="96"/>
        <v>0.18468146205192912</v>
      </c>
      <c r="AB142" s="68" t="s">
        <v>382</v>
      </c>
    </row>
    <row r="143" spans="2:28" x14ac:dyDescent="0.25">
      <c r="B143" s="519">
        <v>0</v>
      </c>
      <c r="C143" s="71">
        <f t="shared" si="88"/>
        <v>0</v>
      </c>
      <c r="D143" s="71">
        <f>M22</f>
        <v>0</v>
      </c>
      <c r="E143" s="71">
        <v>0</v>
      </c>
      <c r="F143" s="71">
        <v>0</v>
      </c>
      <c r="G143" s="71">
        <v>0</v>
      </c>
      <c r="H143" s="71">
        <f>M66-H132</f>
        <v>0</v>
      </c>
      <c r="X143" s="496"/>
      <c r="Y143" s="68" t="s">
        <v>95</v>
      </c>
      <c r="Z143" s="497">
        <f>SUM(Z137:Z142)</f>
        <v>1.3806947246626657</v>
      </c>
      <c r="AA143" s="497">
        <f>SUM(AA137:AA142)</f>
        <v>17.098871541857882</v>
      </c>
      <c r="AB143" s="430">
        <f>2*PI()*SQRT(AB141/AB139)</f>
        <v>0.83852635202767545</v>
      </c>
    </row>
    <row r="145" spans="10:28" x14ac:dyDescent="0.25">
      <c r="J145" s="925" t="s">
        <v>387</v>
      </c>
      <c r="K145" s="925"/>
      <c r="L145" s="925"/>
      <c r="M145" s="925"/>
      <c r="N145" s="925"/>
      <c r="O145" s="925"/>
      <c r="P145" s="925"/>
      <c r="Q145" s="925"/>
      <c r="R145" s="925"/>
      <c r="S145" s="925"/>
      <c r="T145" s="925"/>
      <c r="U145" s="925"/>
      <c r="V145" s="925"/>
      <c r="X145" s="926" t="s">
        <v>124</v>
      </c>
      <c r="Y145" s="926"/>
      <c r="Z145" s="926"/>
      <c r="AA145" s="926"/>
      <c r="AB145" s="926"/>
    </row>
    <row r="146" spans="10:28" x14ac:dyDescent="0.25">
      <c r="J146" s="590" t="s">
        <v>9</v>
      </c>
      <c r="K146" s="588" t="s">
        <v>3</v>
      </c>
      <c r="L146" s="588" t="s">
        <v>89</v>
      </c>
      <c r="M146" s="590" t="s">
        <v>91</v>
      </c>
      <c r="N146" s="590" t="s">
        <v>98</v>
      </c>
      <c r="O146" s="588" t="s">
        <v>119</v>
      </c>
      <c r="P146" s="588" t="s">
        <v>286</v>
      </c>
      <c r="Q146" s="588" t="s">
        <v>287</v>
      </c>
      <c r="R146" s="590" t="s">
        <v>457</v>
      </c>
      <c r="S146" s="590" t="s">
        <v>458</v>
      </c>
      <c r="T146" s="590" t="s">
        <v>92</v>
      </c>
      <c r="U146" s="588" t="s">
        <v>120</v>
      </c>
      <c r="V146" s="590" t="s">
        <v>96</v>
      </c>
      <c r="X146" s="590" t="s">
        <v>9</v>
      </c>
      <c r="Y146" s="924" t="s">
        <v>93</v>
      </c>
      <c r="Z146" s="924" t="s">
        <v>94</v>
      </c>
      <c r="AA146" s="924" t="s">
        <v>122</v>
      </c>
      <c r="AB146" s="588" t="s">
        <v>123</v>
      </c>
    </row>
    <row r="147" spans="10:28" x14ac:dyDescent="0.25">
      <c r="J147" s="590"/>
      <c r="K147" s="588"/>
      <c r="L147" s="588"/>
      <c r="M147" s="590"/>
      <c r="N147" s="590"/>
      <c r="O147" s="588"/>
      <c r="P147" s="588"/>
      <c r="Q147" s="588"/>
      <c r="R147" s="590"/>
      <c r="S147" s="590"/>
      <c r="T147" s="590"/>
      <c r="U147" s="588"/>
      <c r="V147" s="590"/>
      <c r="X147" s="590"/>
      <c r="Y147" s="924"/>
      <c r="Z147" s="924"/>
      <c r="AA147" s="924"/>
      <c r="AB147" s="588"/>
    </row>
    <row r="148" spans="10:28" x14ac:dyDescent="0.25">
      <c r="J148" s="489">
        <v>6</v>
      </c>
      <c r="K148" s="431">
        <f>'Structural Information'!$U$6</f>
        <v>3</v>
      </c>
      <c r="L148" s="431">
        <f>L149+K148</f>
        <v>17.75</v>
      </c>
      <c r="M148" s="490">
        <f>'Yield Mechanism'!$X$57</f>
        <v>8.8706729885236167E-3</v>
      </c>
      <c r="N148" s="71">
        <f>M148-M149</f>
        <v>6.7920838535619546E-4</v>
      </c>
      <c r="O148" s="491">
        <f t="shared" ref="O148:O153" si="101">N148/K148</f>
        <v>2.2640279511873182E-4</v>
      </c>
      <c r="P148" s="490">
        <f>$C$26</f>
        <v>8.3119145368492249E-3</v>
      </c>
      <c r="Q148" s="490">
        <f>$D$26</f>
        <v>2.2387978504494433E-3</v>
      </c>
      <c r="R148" s="70">
        <f>O148/P148</f>
        <v>2.7238344922222182E-2</v>
      </c>
      <c r="S148" s="70">
        <f>O148/Q148</f>
        <v>0.10112694858684136</v>
      </c>
      <c r="T148" s="431">
        <f>_xlfn.IFS((O148&lt;='Infill Capacities'!$CW$14),(O148*'Infill Capacities'!$CR$14*'Infill Capacities'!$CQ$4),(AND((O148&gt;'Infill Capacities'!$CW$14),(O148&lt;='Infill Capacities'!$CX$14))),((O148-'Infill Capacities'!$CW$14)*'Infill Capacities'!$CQ$4*('Infill Capacities'!$CS$14)+'Infill Capacities'!$CM$14),(AND((O148&gt;'Infill Capacities'!$CX$14),(O148&lt;='Infill Capacities'!$CY$14))),((O148-'Infill Capacities'!$CX$14)*'Infill Capacities'!$CQ$4*('Infill Capacities'!$CT$14)+'Infill Capacities'!$CN$14),(AND((O148&gt;'Infill Capacities'!$CY$14),(O148&lt;='Infill Capacities'!$CZ$14))),((O148-'Infill Capacities'!$CY$14)*'Infill Capacities'!$CQ$4*('Infill Capacities'!$CU$14)+'Infill Capacities'!$CP$14))+_xlfn.IFS((O148&lt;='Frame Capacities'!$BO$14),(O148*'Frame Capacities'!$BH$4*'Frame Capacities'!$BI$14),(AND((O148&gt;'Frame Capacities'!$BO$14),(O148&lt;='Frame Capacities'!$BP$14))),((O148-'Frame Capacities'!$BO$14)*'Frame Capacities'!$BH$4*('Frame Capacities'!$BJ$14)+'Frame Capacities'!$BC$14),(AND((O148&gt;'Frame Capacities'!$BP$14),(O148&lt;='Frame Capacities'!$BQ$14))),((O148-'Frame Capacities'!$BP$14)*'Frame Capacities'!$BH$4*('Frame Capacities'!$BK$14)+'Frame Capacities'!$BD$14),(AND((O148&gt;'Frame Capacities'!$BQ$14),(O148&lt;='Frame Capacities'!$BR$14))),((O148-'Frame Capacities'!$BQ$14)*'Frame Capacities'!$BH$4*('Frame Capacities'!$BL$14)+'Frame Capacities'!$BE$14))</f>
        <v>24.314358638495708</v>
      </c>
      <c r="U148" s="431">
        <f>K148*T148</f>
        <v>72.943075915487128</v>
      </c>
      <c r="V148" s="70">
        <f>U153/AB148</f>
        <v>99.999998772354672</v>
      </c>
      <c r="X148" s="69">
        <v>6</v>
      </c>
      <c r="Y148" s="70">
        <f>'Structural Information'!$Z$6</f>
        <v>37.8446</v>
      </c>
      <c r="Z148" s="70">
        <f t="shared" ref="Z148:Z153" si="102">Y148*M148</f>
        <v>0.33570707098148084</v>
      </c>
      <c r="AA148" s="70">
        <f t="shared" ref="AA148:AA153" si="103">Z148*L148</f>
        <v>5.9588005099212848</v>
      </c>
      <c r="AB148" s="70">
        <f>AA154/Z154</f>
        <v>12.384252098910217</v>
      </c>
    </row>
    <row r="149" spans="10:28" x14ac:dyDescent="0.25">
      <c r="J149" s="489">
        <v>5</v>
      </c>
      <c r="K149" s="431">
        <f>'Structural Information'!$U$7</f>
        <v>3</v>
      </c>
      <c r="L149" s="431">
        <f>L150+K149</f>
        <v>14.75</v>
      </c>
      <c r="M149" s="490">
        <f>'Yield Mechanism'!$X$58</f>
        <v>8.1914646031674213E-3</v>
      </c>
      <c r="N149" s="71">
        <f>M149-M150</f>
        <v>1.1731887339810039E-3</v>
      </c>
      <c r="O149" s="491">
        <f t="shared" si="101"/>
        <v>3.9106291132700129E-4</v>
      </c>
      <c r="P149" s="490">
        <f>$C$27</f>
        <v>9.597600000000003E-3</v>
      </c>
      <c r="Q149" s="490">
        <f>$D$27</f>
        <v>1.92360761471166E-3</v>
      </c>
      <c r="R149" s="70">
        <f t="shared" ref="R149:R151" si="104">O149/P149</f>
        <v>4.0745906406497577E-2</v>
      </c>
      <c r="S149" s="70">
        <f t="shared" ref="S149:S150" si="105">O149/Q149</f>
        <v>0.20329661222807119</v>
      </c>
      <c r="T149" s="431">
        <f>_xlfn.IFS((O149&lt;='Infill Capacities'!$CW$15),(O149*'Infill Capacities'!$CR$15*'Infill Capacities'!$CQ$5),(AND((O149&gt;'Infill Capacities'!$CW$15),(O149&lt;='Infill Capacities'!$CX$15))),((O149-'Infill Capacities'!$CW$15)*'Infill Capacities'!$CQ$5*('Infill Capacities'!$CS$15)+'Infill Capacities'!$CM$15),(AND((O149&gt;'Infill Capacities'!$CX$15),(O149&lt;='Infill Capacities'!$CY$15))),((O149-'Infill Capacities'!$CX$15)*'Infill Capacities'!$CQ$5*('Infill Capacities'!$CT$15)+'Infill Capacities'!$CN$15),(AND((O149&gt;'Infill Capacities'!$CY$15),(O149&lt;='Infill Capacities'!$CZ$15))),((O149-'Infill Capacities'!$CY$15)*'Infill Capacities'!$CQ$5*('Infill Capacities'!$CU$15)+'Infill Capacities'!$CP$15))+_xlfn.IFS((O149&lt;='Frame Capacities'!$BO$15),(O149*'Frame Capacities'!$BH$5*'Frame Capacities'!$BI$15),(AND((O149&gt;'Frame Capacities'!$BO$15),(O149&lt;='Frame Capacities'!$BP$15))),((O149-'Frame Capacities'!$BO$15)*'Frame Capacities'!$BH$5*('Frame Capacities'!$BJ$15)+'Frame Capacities'!$BC$15),(AND((O149&gt;'Frame Capacities'!$BP$15),(O149&lt;='Frame Capacities'!$BQ$15))),((O149-'Frame Capacities'!$BP$15)*'Frame Capacities'!$BH$5*('Frame Capacities'!$BK$15)+'Frame Capacities'!$BD$15),(AND((O149&gt;'Frame Capacities'!$BQ$15),(O149&lt;='Frame Capacities'!$BR$15))),((O149-'Frame Capacities'!$BQ$15)*'Frame Capacities'!$BH$5*('Frame Capacities'!$BL$15)+'Frame Capacities'!$BE$15))</f>
        <v>48.263523243971207</v>
      </c>
      <c r="U149" s="431">
        <f>U148+T149*K149</f>
        <v>217.73364564740075</v>
      </c>
      <c r="V149" s="492"/>
      <c r="X149" s="69">
        <v>5</v>
      </c>
      <c r="Y149" s="70">
        <f>'Structural Information'!$Z$7</f>
        <v>40.367000000000004</v>
      </c>
      <c r="Z149" s="70">
        <f t="shared" si="102"/>
        <v>0.33066485163605935</v>
      </c>
      <c r="AA149" s="70">
        <f t="shared" si="103"/>
        <v>4.8773065616318751</v>
      </c>
      <c r="AB149" s="68" t="s">
        <v>381</v>
      </c>
    </row>
    <row r="150" spans="10:28" x14ac:dyDescent="0.25">
      <c r="J150" s="489">
        <v>4</v>
      </c>
      <c r="K150" s="431">
        <f>'Structural Information'!$U$8</f>
        <v>3</v>
      </c>
      <c r="L150" s="431">
        <f>L151+K150</f>
        <v>11.75</v>
      </c>
      <c r="M150" s="490">
        <f>'Yield Mechanism'!$X$59</f>
        <v>7.0182758691864173E-3</v>
      </c>
      <c r="N150" s="491">
        <f>M150-M151</f>
        <v>1.5927336164272138E-3</v>
      </c>
      <c r="O150" s="491">
        <f t="shared" si="101"/>
        <v>5.3091120547573789E-4</v>
      </c>
      <c r="P150" s="490">
        <f>$C$28</f>
        <v>9.015519176800749E-3</v>
      </c>
      <c r="Q150" s="490">
        <f>$D$28</f>
        <v>1.852250472241956E-3</v>
      </c>
      <c r="R150" s="70">
        <f t="shared" si="104"/>
        <v>5.8888589227552093E-2</v>
      </c>
      <c r="S150" s="70">
        <f t="shared" si="105"/>
        <v>0.28663035233735168</v>
      </c>
      <c r="T150" s="431">
        <f>_xlfn.IFS((O150&lt;='Infill Capacities'!$CW$16),(O150*'Infill Capacities'!$CR$16*'Infill Capacities'!$CQ$6),(AND((O150&gt;'Infill Capacities'!$CW$16),(O150&lt;='Infill Capacities'!$CX$16))),((O150-'Infill Capacities'!$CW$16)*'Infill Capacities'!$CQ$6*('Infill Capacities'!$CS$16)+'Infill Capacities'!$CM$16),(AND((O150&gt;'Infill Capacities'!$CX$16),(O150&lt;='Infill Capacities'!$CY$16))),((O150-'Infill Capacities'!$CX$16)*'Infill Capacities'!$CQ$6*('Infill Capacities'!$CT$16)+'Infill Capacities'!$CN$16),(AND((O150&gt;'Infill Capacities'!$CY$16),(O150&lt;='Infill Capacities'!$CZ$16))),((O150-'Infill Capacities'!$CY$16)*'Infill Capacities'!$CQ$6*('Infill Capacities'!$CU$16)+'Infill Capacities'!$CP$16))+_xlfn.IFS((O150&lt;='Frame Capacities'!$BO$16),(O150*'Frame Capacities'!$BH$6*'Frame Capacities'!$BI$16),(AND((O150&gt;'Frame Capacities'!$BO$16),(O150&lt;='Frame Capacities'!$BP$16))),((O150-'Frame Capacities'!$BO$16)*'Frame Capacities'!$BH$6*('Frame Capacities'!$BJ$16)+'Frame Capacities'!$BC$16),(AND((O150&gt;'Frame Capacities'!$BP$16),(O150&lt;='Frame Capacities'!$BQ$16))),((O150-'Frame Capacities'!$BP$16)*'Frame Capacities'!$BH$6*('Frame Capacities'!$BK$16)+'Frame Capacities'!$BD$16),(AND((O150&gt;'Frame Capacities'!$BQ$16),(O150&lt;='Frame Capacities'!$BR$16))),((O150-'Frame Capacities'!$BQ$16)*'Frame Capacities'!$BH$6*('Frame Capacities'!$BL$16)+'Frame Capacities'!$BE$16))</f>
        <v>68.782667375673356</v>
      </c>
      <c r="U150" s="431">
        <f>U149+T150*K150</f>
        <v>424.08164777442084</v>
      </c>
      <c r="V150" s="493" t="s">
        <v>130</v>
      </c>
      <c r="X150" s="69">
        <v>4</v>
      </c>
      <c r="Y150" s="70">
        <f>'Structural Information'!$Z$8</f>
        <v>40.367000000000004</v>
      </c>
      <c r="Z150" s="70">
        <f t="shared" si="102"/>
        <v>0.28330674201144812</v>
      </c>
      <c r="AA150" s="70">
        <f t="shared" si="103"/>
        <v>3.3288542186345156</v>
      </c>
      <c r="AB150" s="430">
        <f>T153/M148</f>
        <v>11273.100970936261</v>
      </c>
    </row>
    <row r="151" spans="10:28" x14ac:dyDescent="0.25">
      <c r="J151" s="489">
        <v>3</v>
      </c>
      <c r="K151" s="431">
        <f>'Structural Information'!$U$9</f>
        <v>3</v>
      </c>
      <c r="L151" s="431">
        <f>L152+K151</f>
        <v>8.75</v>
      </c>
      <c r="M151" s="490">
        <f>'Yield Mechanism'!$X$60</f>
        <v>5.4255422527592035E-3</v>
      </c>
      <c r="N151" s="71">
        <f>M151-M152</f>
        <v>1.83730679743837E-3</v>
      </c>
      <c r="O151" s="491">
        <f t="shared" si="101"/>
        <v>6.1243559914612338E-4</v>
      </c>
      <c r="P151" s="490">
        <f>$C$29</f>
        <v>8.5822017391304368E-3</v>
      </c>
      <c r="Q151" s="490">
        <f>$D$29</f>
        <v>1.7915672005543457E-3</v>
      </c>
      <c r="R151" s="431">
        <f t="shared" si="104"/>
        <v>7.1361128270118757E-2</v>
      </c>
      <c r="S151" s="70">
        <f>O151/Q151</f>
        <v>0.34184349822692889</v>
      </c>
      <c r="T151" s="431">
        <f>_xlfn.IFS((O151&lt;='Infill Capacities'!$CW$17),(O151*'Infill Capacities'!$CR$17*'Infill Capacities'!$CQ$7),(AND((O151&gt;'Infill Capacities'!$CW$17),(O151&lt;='Infill Capacities'!$CX$17))),((O151-'Infill Capacities'!$CW$17)*'Infill Capacities'!$CQ$7*('Infill Capacities'!$CS$17)+'Infill Capacities'!$CM$17),(AND((O151&gt;'Infill Capacities'!$CX$17),(O151&lt;='Infill Capacities'!$CY$17))),((O151-'Infill Capacities'!$CX$17)*'Infill Capacities'!$CQ$7*('Infill Capacities'!$CT$17)+'Infill Capacities'!$CN$17),(AND((O151&gt;'Infill Capacities'!$CY$17),(O151&lt;='Infill Capacities'!$CZ$17))),((O151-'Infill Capacities'!$CY$17)*'Infill Capacities'!$CQ$7*('Infill Capacities'!$CU$17)+'Infill Capacities'!$CP$17))+_xlfn.IFS((O151&lt;='Frame Capacities'!$BO$17),(O151*'Frame Capacities'!$BH$7*'Frame Capacities'!$BI$17),(AND((O151&gt;'Frame Capacities'!$BO$17),(O151&lt;='Frame Capacities'!$BP$17))),((O151-'Frame Capacities'!$BO$17)*'Frame Capacities'!$BH$7*('Frame Capacities'!$BJ$17)+'Frame Capacities'!$BC$17),(AND((O151&gt;'Frame Capacities'!$BP$17),(O151&lt;='Frame Capacities'!$BQ$17))),((O151-'Frame Capacities'!$BP$17)*'Frame Capacities'!$BH$7*('Frame Capacities'!$BK$17)+'Frame Capacities'!$BD$17),(AND((O151&gt;'Frame Capacities'!$BQ$17),(O151&lt;='Frame Capacities'!$BR$17))),((O151-'Frame Capacities'!$BQ$17)*'Frame Capacities'!$BH$7*('Frame Capacities'!$BL$17)+'Frame Capacities'!$BE$17))</f>
        <v>84.645179741290264</v>
      </c>
      <c r="U151" s="431">
        <f>U150+T151*K151</f>
        <v>678.01718699829166</v>
      </c>
      <c r="V151" s="494">
        <v>0</v>
      </c>
      <c r="X151" s="69">
        <v>3</v>
      </c>
      <c r="Y151" s="70">
        <f>'Structural Information'!$Z$9</f>
        <v>40.367000000000004</v>
      </c>
      <c r="Z151" s="70">
        <f t="shared" si="102"/>
        <v>0.21901286411713081</v>
      </c>
      <c r="AA151" s="70">
        <f t="shared" si="103"/>
        <v>1.9163625610248947</v>
      </c>
      <c r="AB151" s="351" t="s">
        <v>383</v>
      </c>
    </row>
    <row r="152" spans="10:28" x14ac:dyDescent="0.25">
      <c r="J152" s="489">
        <v>2</v>
      </c>
      <c r="K152" s="431">
        <f>'Structural Information'!$U$10</f>
        <v>3</v>
      </c>
      <c r="L152" s="431">
        <f>L153+K152</f>
        <v>5.75</v>
      </c>
      <c r="M152" s="490">
        <f>'Yield Mechanism'!$X$61</f>
        <v>3.5882354553208335E-3</v>
      </c>
      <c r="N152" s="71">
        <f>M152-M153</f>
        <v>1.9245771380911512E-3</v>
      </c>
      <c r="O152" s="491">
        <f t="shared" si="101"/>
        <v>6.4152571269705035E-4</v>
      </c>
      <c r="P152" s="490">
        <f>$C$30</f>
        <v>6.7523273096129852E-3</v>
      </c>
      <c r="Q152" s="490">
        <f>$D$30</f>
        <v>1.7342707198796904E-3</v>
      </c>
      <c r="R152" s="70">
        <f>O152/P152</f>
        <v>9.5008088808689564E-2</v>
      </c>
      <c r="S152" s="70">
        <f t="shared" ref="S152:S153" si="106">O152/Q152</f>
        <v>0.36991094028362204</v>
      </c>
      <c r="T152" s="431">
        <f>_xlfn.IFS((O152&lt;='Infill Capacities'!$CW$18),(O152*'Infill Capacities'!$CR$18*'Infill Capacities'!$CQ$8),(AND((O152&gt;'Infill Capacities'!$CW$18),(O152&lt;='Infill Capacities'!$CX$18))),((O152-'Infill Capacities'!$CW$18)*'Infill Capacities'!$CQ$8*('Infill Capacities'!$CS$18)+'Infill Capacities'!$CM$18),(AND((O152&gt;'Infill Capacities'!$CX$18),(O152&lt;='Infill Capacities'!$CY$18))),((O152-'Infill Capacities'!$CX$18)*'Infill Capacities'!$CQ$8*('Infill Capacities'!$CT$18)+'Infill Capacities'!$CN$18),(AND((O152&gt;'Infill Capacities'!$CY$18),(O152&lt;='Infill Capacities'!$CZ$18))),((O152-'Infill Capacities'!$CY$18)*'Infill Capacities'!$CQ$8*('Infill Capacities'!$CU$18)+'Infill Capacities'!$CP$18))+_xlfn.IFS((O152&lt;='Frame Capacities'!$BO$18),(O152*'Frame Capacities'!$BH$8*'Frame Capacities'!$BI$18),(AND((O152&gt;'Frame Capacities'!$BO$18),(O152&lt;='Frame Capacities'!$BP$18))),((O152-'Frame Capacities'!$BO$18)*'Frame Capacities'!$BH$8*('Frame Capacities'!$BJ$18)+'Frame Capacities'!$BC$18),(AND((O152&gt;'Frame Capacities'!$BP$18),(O152&lt;='Frame Capacities'!$BQ$18))),((O152-'Frame Capacities'!$BP$18)*'Frame Capacities'!$BH$8*('Frame Capacities'!$BK$18)+'Frame Capacities'!$BD$18),(AND((O152&gt;'Frame Capacities'!$BQ$18),(O152&lt;='Frame Capacities'!$BR$18))),((O152-'Frame Capacities'!$BQ$18)*'Frame Capacities'!$BH$8*('Frame Capacities'!$BL$18)+'Frame Capacities'!$BE$18))</f>
        <v>95.136009639951936</v>
      </c>
      <c r="U152" s="431">
        <f>U151+T152*K152</f>
        <v>963.4252159181475</v>
      </c>
      <c r="V152" s="492"/>
      <c r="X152" s="69">
        <v>2</v>
      </c>
      <c r="Y152" s="70">
        <f>'Structural Information'!$Z$10</f>
        <v>40.367000000000004</v>
      </c>
      <c r="Z152" s="70">
        <f t="shared" si="102"/>
        <v>0.14484630062493611</v>
      </c>
      <c r="AA152" s="70">
        <f t="shared" si="103"/>
        <v>0.83286622859338266</v>
      </c>
      <c r="AB152" s="70">
        <f>(('Structural Information'!$Z$6*M148+'Structural Information'!$Z$7*M149+'Structural Information'!$Z$8*M150+'Structural Information'!$Z$9*M151+'Structural Information'!$Z$10*M152+'Structural Information'!$Z$11*M153)^2)/('Structural Information'!$Z$6*M148*M148+'Structural Information'!$Z$7*M149*M149+'Structural Information'!$Z$8*M150*M150+'Structural Information'!$Z$9*M151*M151+'Structural Information'!$Z$10*M152*M152+'Structural Information'!$Z$11*M153*M153)</f>
        <v>200.77844728267124</v>
      </c>
    </row>
    <row r="153" spans="10:28" x14ac:dyDescent="0.25">
      <c r="J153" s="489">
        <v>1</v>
      </c>
      <c r="K153" s="431">
        <f>'Structural Information'!$U$11</f>
        <v>2.75</v>
      </c>
      <c r="L153" s="431">
        <f>K153</f>
        <v>2.75</v>
      </c>
      <c r="M153" s="490">
        <f>'Yield Mechanism'!$X$62</f>
        <v>1.6636583172296823E-3</v>
      </c>
      <c r="N153" s="71">
        <f>M153</f>
        <v>1.6636583172296823E-3</v>
      </c>
      <c r="O153" s="491">
        <f t="shared" si="101"/>
        <v>6.0496666081079353E-4</v>
      </c>
      <c r="P153" s="490">
        <f>$C$31</f>
        <v>5.3120868684138484E-3</v>
      </c>
      <c r="Q153" s="490">
        <f>$D$31</f>
        <v>1.7606502644787157E-3</v>
      </c>
      <c r="R153" s="70">
        <f t="shared" ref="R153" si="107">O153/P153</f>
        <v>0.11388493369865246</v>
      </c>
      <c r="S153" s="70">
        <f t="shared" si="106"/>
        <v>0.34360410640094324</v>
      </c>
      <c r="T153" s="431">
        <f>_xlfn.IFS((O153&lt;='Infill Capacities'!$CW$19),(O153*'Infill Capacities'!$CR$19*'Infill Capacities'!$CQ$9),(AND((O153&gt;'Infill Capacities'!$CW$19),(O153&lt;='Infill Capacities'!$CX$19))),((O153-'Infill Capacities'!$CW$19)*'Infill Capacities'!$CQ$9*('Infill Capacities'!$CS$19)+'Infill Capacities'!$CM$19),(AND((O153&gt;'Infill Capacities'!$CX$19),(O153&lt;='Infill Capacities'!$CY$19))),((O153-'Infill Capacities'!$CX$19)*'Infill Capacities'!$CQ$9*('Infill Capacities'!$CT$19)+'Infill Capacities'!$CN$19),(AND((O153&gt;'Infill Capacities'!$CY$19),(O153&lt;='Infill Capacities'!$CZ$19))),((O153-'Infill Capacities'!$CY$19)*'Infill Capacities'!$CQ$9*('Infill Capacities'!$CU$19)+'Infill Capacities'!$CP$19))+_xlfn.IFS((O153&lt;='Frame Capacities'!$BO$19),(O153*'Frame Capacities'!$BH$9*'Frame Capacities'!$BI$19),(AND((O153&gt;'Frame Capacities'!$BO$19),(O153&lt;='Frame Capacities'!$BP$19))),((O153-'Frame Capacities'!$BO$19)*'Frame Capacities'!$BH$9*('Frame Capacities'!$BJ$19)+'Frame Capacities'!$BC$19),(AND((O153&gt;'Frame Capacities'!$BP$19),(O153&lt;='Frame Capacities'!$BQ$19))),((O153-'Frame Capacities'!$BP$19)*'Frame Capacities'!$BH$9*('Frame Capacities'!$BK$19)+'Frame Capacities'!$BD$19),(AND((O153&gt;'Frame Capacities'!$BQ$19),(O153&lt;='Frame Capacities'!$BR$19))),((O153-'Frame Capacities'!$BQ$19)*'Frame Capacities'!$BH$9*('Frame Capacities'!$BL$19)+'Frame Capacities'!$BE$19))</f>
        <v>99.99999227978364</v>
      </c>
      <c r="U153" s="431">
        <f>U152+T153*K153</f>
        <v>1238.4251946875524</v>
      </c>
      <c r="V153" s="495"/>
      <c r="X153" s="69">
        <v>1</v>
      </c>
      <c r="Y153" s="70">
        <f>'Structural Information'!$Z$11</f>
        <v>40.367000000000004</v>
      </c>
      <c r="Z153" s="70">
        <f t="shared" si="102"/>
        <v>6.7156895291610591E-2</v>
      </c>
      <c r="AA153" s="70">
        <f t="shared" si="103"/>
        <v>0.18468146205192912</v>
      </c>
      <c r="AB153" s="68" t="s">
        <v>382</v>
      </c>
    </row>
    <row r="154" spans="10:28" x14ac:dyDescent="0.25">
      <c r="X154" s="496"/>
      <c r="Y154" s="68" t="s">
        <v>95</v>
      </c>
      <c r="Z154" s="497">
        <f>SUM(Z148:Z153)</f>
        <v>1.3806947246626657</v>
      </c>
      <c r="AA154" s="497">
        <f>SUM(AA148:AA153)</f>
        <v>17.098871541857882</v>
      </c>
      <c r="AB154" s="430">
        <f>2*PI()*SQRT(AB152/AB150)</f>
        <v>0.83852635202767545</v>
      </c>
    </row>
    <row r="156" spans="10:28" x14ac:dyDescent="0.25">
      <c r="J156" s="944" t="s">
        <v>388</v>
      </c>
      <c r="K156" s="945"/>
      <c r="L156" s="945"/>
      <c r="M156" s="945"/>
      <c r="N156" s="945"/>
      <c r="O156" s="945"/>
      <c r="P156" s="945"/>
      <c r="Q156" s="945"/>
      <c r="R156" s="945"/>
      <c r="S156" s="945"/>
      <c r="T156" s="945"/>
      <c r="U156" s="945"/>
      <c r="V156" s="946"/>
      <c r="X156" s="925" t="s">
        <v>124</v>
      </c>
      <c r="Y156" s="925"/>
      <c r="Z156" s="925"/>
      <c r="AA156" s="925"/>
      <c r="AB156" s="925"/>
    </row>
    <row r="157" spans="10:28" x14ac:dyDescent="0.25">
      <c r="J157" s="590" t="s">
        <v>9</v>
      </c>
      <c r="K157" s="588" t="s">
        <v>3</v>
      </c>
      <c r="L157" s="588" t="s">
        <v>89</v>
      </c>
      <c r="M157" s="590" t="s">
        <v>91</v>
      </c>
      <c r="N157" s="590" t="s">
        <v>98</v>
      </c>
      <c r="O157" s="588" t="s">
        <v>119</v>
      </c>
      <c r="P157" s="588" t="s">
        <v>286</v>
      </c>
      <c r="Q157" s="588" t="s">
        <v>287</v>
      </c>
      <c r="R157" s="590" t="s">
        <v>457</v>
      </c>
      <c r="S157" s="590" t="s">
        <v>458</v>
      </c>
      <c r="T157" s="590" t="s">
        <v>92</v>
      </c>
      <c r="U157" s="588" t="s">
        <v>120</v>
      </c>
      <c r="V157" s="590" t="s">
        <v>96</v>
      </c>
      <c r="X157" s="590" t="s">
        <v>9</v>
      </c>
      <c r="Y157" s="924" t="s">
        <v>93</v>
      </c>
      <c r="Z157" s="924" t="s">
        <v>94</v>
      </c>
      <c r="AA157" s="924" t="s">
        <v>122</v>
      </c>
      <c r="AB157" s="588" t="s">
        <v>123</v>
      </c>
    </row>
    <row r="158" spans="10:28" x14ac:dyDescent="0.25">
      <c r="J158" s="590"/>
      <c r="K158" s="588"/>
      <c r="L158" s="588"/>
      <c r="M158" s="590"/>
      <c r="N158" s="590"/>
      <c r="O158" s="588"/>
      <c r="P158" s="588"/>
      <c r="Q158" s="588"/>
      <c r="R158" s="590"/>
      <c r="S158" s="590"/>
      <c r="T158" s="590"/>
      <c r="U158" s="588"/>
      <c r="V158" s="590"/>
      <c r="X158" s="590"/>
      <c r="Y158" s="924"/>
      <c r="Z158" s="924"/>
      <c r="AA158" s="924"/>
      <c r="AB158" s="588"/>
    </row>
    <row r="159" spans="10:28" x14ac:dyDescent="0.25">
      <c r="J159" s="489">
        <v>6</v>
      </c>
      <c r="K159" s="431">
        <f>'Structural Information'!$U$6</f>
        <v>3</v>
      </c>
      <c r="L159" s="431">
        <f>L160+K159</f>
        <v>17.75</v>
      </c>
      <c r="M159" s="490">
        <f>'Yield Mechanism'!$X$57</f>
        <v>8.8706729885236167E-3</v>
      </c>
      <c r="N159" s="71">
        <f>M159-M160</f>
        <v>6.7920838535619546E-4</v>
      </c>
      <c r="O159" s="491">
        <f t="shared" ref="O159:O164" si="108">N159/K159</f>
        <v>2.2640279511873182E-4</v>
      </c>
      <c r="P159" s="490">
        <f>$C$26</f>
        <v>8.3119145368492249E-3</v>
      </c>
      <c r="Q159" s="490">
        <f>$D$26</f>
        <v>2.2387978504494433E-3</v>
      </c>
      <c r="R159" s="70">
        <f>O159/P159</f>
        <v>2.7238344922222182E-2</v>
      </c>
      <c r="S159" s="70">
        <f>O159/Q159</f>
        <v>0.10112694858684136</v>
      </c>
      <c r="T159" s="431">
        <f>_xlfn.IFS((O159&lt;='Infill Capacities'!$CW$14),(O159*'Infill Capacities'!$CR$14*'Infill Capacities'!$CQ$4),(AND((O159&gt;'Infill Capacities'!$CW$14),(O159&lt;='Infill Capacities'!$CX$14))),((O159-'Infill Capacities'!$CW$14)*'Infill Capacities'!$CQ$4*('Infill Capacities'!$CS$14)+'Infill Capacities'!$CM$14),(AND((O159&gt;'Infill Capacities'!$CX$14),(O159&lt;='Infill Capacities'!$CY$14))),((O159-'Infill Capacities'!$CX$14)*'Infill Capacities'!$CQ$4*('Infill Capacities'!$CT$14)+'Infill Capacities'!$CN$14),(AND((O159&gt;'Infill Capacities'!$CY$14),(O159&lt;='Infill Capacities'!$CZ$14))),((O159-'Infill Capacities'!$CY$14)*'Infill Capacities'!$CQ$4*('Infill Capacities'!$CU$14)+'Infill Capacities'!$CP$14))+_xlfn.IFS((O159&lt;='Frame Capacities'!$BO$14),(O159*'Frame Capacities'!$BH$4*'Frame Capacities'!$BI$14),(AND((O159&gt;'Frame Capacities'!$BO$14),(O159&lt;='Frame Capacities'!$BP$14))),((O159-'Frame Capacities'!$BO$14)*'Frame Capacities'!$BH$4*('Frame Capacities'!$BJ$14)+'Frame Capacities'!$BC$14),(AND((O159&gt;'Frame Capacities'!$BP$14),(O159&lt;='Frame Capacities'!$BQ$14))),((O159-'Frame Capacities'!$BP$14)*'Frame Capacities'!$BH$4*('Frame Capacities'!$BK$14)+'Frame Capacities'!$BD$14),(AND((O159&gt;'Frame Capacities'!$BQ$14),(O159&lt;='Frame Capacities'!$BR$14))),((O159-'Frame Capacities'!$BQ$14)*'Frame Capacities'!$BH$4*('Frame Capacities'!$BL$14)+'Frame Capacities'!$BE$14))</f>
        <v>24.314358638495708</v>
      </c>
      <c r="U159" s="431">
        <f>K159*T159</f>
        <v>72.943075915487128</v>
      </c>
      <c r="V159" s="70">
        <f>U164/AB159</f>
        <v>99.999998772354672</v>
      </c>
      <c r="X159" s="69">
        <v>6</v>
      </c>
      <c r="Y159" s="70">
        <f>'Structural Information'!$Z$6</f>
        <v>37.8446</v>
      </c>
      <c r="Z159" s="70">
        <f t="shared" ref="Z159:Z164" si="109">Y159*M159</f>
        <v>0.33570707098148084</v>
      </c>
      <c r="AA159" s="70">
        <f t="shared" ref="AA159:AA164" si="110">Z159*L159</f>
        <v>5.9588005099212848</v>
      </c>
      <c r="AB159" s="70">
        <f>AA165/Z165</f>
        <v>12.384252098910217</v>
      </c>
    </row>
    <row r="160" spans="10:28" x14ac:dyDescent="0.25">
      <c r="J160" s="489">
        <v>5</v>
      </c>
      <c r="K160" s="431">
        <f>'Structural Information'!$U$7</f>
        <v>3</v>
      </c>
      <c r="L160" s="431">
        <f>L161+K160</f>
        <v>14.75</v>
      </c>
      <c r="M160" s="490">
        <f>'Yield Mechanism'!$X$58</f>
        <v>8.1914646031674213E-3</v>
      </c>
      <c r="N160" s="71">
        <f>M160-M161</f>
        <v>1.1731887339810039E-3</v>
      </c>
      <c r="O160" s="491">
        <f t="shared" si="108"/>
        <v>3.9106291132700129E-4</v>
      </c>
      <c r="P160" s="490">
        <f>$C$27</f>
        <v>9.597600000000003E-3</v>
      </c>
      <c r="Q160" s="490">
        <f>$D$27</f>
        <v>1.92360761471166E-3</v>
      </c>
      <c r="R160" s="70">
        <f t="shared" ref="R160:R162" si="111">O160/P160</f>
        <v>4.0745906406497577E-2</v>
      </c>
      <c r="S160" s="70">
        <f t="shared" ref="S160:S161" si="112">O160/Q160</f>
        <v>0.20329661222807119</v>
      </c>
      <c r="T160" s="431">
        <f>_xlfn.IFS((O160&lt;='Infill Capacities'!$CW$15),(O160*'Infill Capacities'!$CR$15*'Infill Capacities'!$CQ$5),(AND((O160&gt;'Infill Capacities'!$CW$15),(O160&lt;='Infill Capacities'!$CX$15))),((O160-'Infill Capacities'!$CW$15)*'Infill Capacities'!$CQ$5*('Infill Capacities'!$CS$15)+'Infill Capacities'!$CM$15),(AND((O160&gt;'Infill Capacities'!$CX$15),(O160&lt;='Infill Capacities'!$CY$15))),((O160-'Infill Capacities'!$CX$15)*'Infill Capacities'!$CQ$5*('Infill Capacities'!$CT$15)+'Infill Capacities'!$CN$15),(AND((O160&gt;'Infill Capacities'!$CY$15),(O160&lt;='Infill Capacities'!$CZ$15))),((O160-'Infill Capacities'!$CY$15)*'Infill Capacities'!$CQ$5*('Infill Capacities'!$CU$15)+'Infill Capacities'!$CP$15))+_xlfn.IFS((O160&lt;='Frame Capacities'!$BO$15),(O160*'Frame Capacities'!$BH$5*'Frame Capacities'!$BI$15),(AND((O160&gt;'Frame Capacities'!$BO$15),(O160&lt;='Frame Capacities'!$BP$15))),((O160-'Frame Capacities'!$BO$15)*'Frame Capacities'!$BH$5*('Frame Capacities'!$BJ$15)+'Frame Capacities'!$BC$15),(AND((O160&gt;'Frame Capacities'!$BP$15),(O160&lt;='Frame Capacities'!$BQ$15))),((O160-'Frame Capacities'!$BP$15)*'Frame Capacities'!$BH$5*('Frame Capacities'!$BK$15)+'Frame Capacities'!$BD$15),(AND((O160&gt;'Frame Capacities'!$BQ$15),(O160&lt;='Frame Capacities'!$BR$15))),((O160-'Frame Capacities'!$BQ$15)*'Frame Capacities'!$BH$5*('Frame Capacities'!$BL$15)+'Frame Capacities'!$BE$15))</f>
        <v>48.263523243971207</v>
      </c>
      <c r="U160" s="431">
        <f>U159+T160*K160</f>
        <v>217.73364564740075</v>
      </c>
      <c r="V160" s="492"/>
      <c r="X160" s="69">
        <v>5</v>
      </c>
      <c r="Y160" s="70">
        <f>'Structural Information'!$Z$7</f>
        <v>40.367000000000004</v>
      </c>
      <c r="Z160" s="70">
        <f t="shared" si="109"/>
        <v>0.33066485163605935</v>
      </c>
      <c r="AA160" s="70">
        <f t="shared" si="110"/>
        <v>4.8773065616318751</v>
      </c>
      <c r="AB160" s="68" t="s">
        <v>381</v>
      </c>
    </row>
    <row r="161" spans="10:28" x14ac:dyDescent="0.25">
      <c r="J161" s="489">
        <v>4</v>
      </c>
      <c r="K161" s="431">
        <f>'Structural Information'!$U$8</f>
        <v>3</v>
      </c>
      <c r="L161" s="431">
        <f>L162+K161</f>
        <v>11.75</v>
      </c>
      <c r="M161" s="490">
        <f>'Yield Mechanism'!$X$59</f>
        <v>7.0182758691864173E-3</v>
      </c>
      <c r="N161" s="491">
        <f>M161-M162</f>
        <v>1.5927336164272138E-3</v>
      </c>
      <c r="O161" s="491">
        <f t="shared" si="108"/>
        <v>5.3091120547573789E-4</v>
      </c>
      <c r="P161" s="490">
        <f>$C$28</f>
        <v>9.015519176800749E-3</v>
      </c>
      <c r="Q161" s="490">
        <f>$D$28</f>
        <v>1.852250472241956E-3</v>
      </c>
      <c r="R161" s="70">
        <f t="shared" si="111"/>
        <v>5.8888589227552093E-2</v>
      </c>
      <c r="S161" s="70">
        <f t="shared" si="112"/>
        <v>0.28663035233735168</v>
      </c>
      <c r="T161" s="431">
        <f>_xlfn.IFS((O161&lt;='Infill Capacities'!$CW$16),(O161*'Infill Capacities'!$CR$16*'Infill Capacities'!$CQ$6),(AND((O161&gt;'Infill Capacities'!$CW$16),(O161&lt;='Infill Capacities'!$CX$16))),((O161-'Infill Capacities'!$CW$16)*'Infill Capacities'!$CQ$6*('Infill Capacities'!$CS$16)+'Infill Capacities'!$CM$16),(AND((O161&gt;'Infill Capacities'!$CX$16),(O161&lt;='Infill Capacities'!$CY$16))),((O161-'Infill Capacities'!$CX$16)*'Infill Capacities'!$CQ$6*('Infill Capacities'!$CT$16)+'Infill Capacities'!$CN$16),(AND((O161&gt;'Infill Capacities'!$CY$16),(O161&lt;='Infill Capacities'!$CZ$16))),((O161-'Infill Capacities'!$CY$16)*'Infill Capacities'!$CQ$6*('Infill Capacities'!$CU$16)+'Infill Capacities'!$CP$16))+_xlfn.IFS((O161&lt;='Frame Capacities'!$BO$16),(O161*'Frame Capacities'!$BH$6*'Frame Capacities'!$BI$16),(AND((O161&gt;'Frame Capacities'!$BO$16),(O161&lt;='Frame Capacities'!$BP$16))),((O161-'Frame Capacities'!$BO$16)*'Frame Capacities'!$BH$6*('Frame Capacities'!$BJ$16)+'Frame Capacities'!$BC$16),(AND((O161&gt;'Frame Capacities'!$BP$16),(O161&lt;='Frame Capacities'!$BQ$16))),((O161-'Frame Capacities'!$BP$16)*'Frame Capacities'!$BH$6*('Frame Capacities'!$BK$16)+'Frame Capacities'!$BD$16),(AND((O161&gt;'Frame Capacities'!$BQ$16),(O161&lt;='Frame Capacities'!$BR$16))),((O161-'Frame Capacities'!$BQ$16)*'Frame Capacities'!$BH$6*('Frame Capacities'!$BL$16)+'Frame Capacities'!$BE$16))</f>
        <v>68.782667375673356</v>
      </c>
      <c r="U161" s="431">
        <f>U160+T161*K161</f>
        <v>424.08164777442084</v>
      </c>
      <c r="V161" s="493" t="s">
        <v>130</v>
      </c>
      <c r="X161" s="69">
        <v>4</v>
      </c>
      <c r="Y161" s="70">
        <f>'Structural Information'!$Z$8</f>
        <v>40.367000000000004</v>
      </c>
      <c r="Z161" s="70">
        <f t="shared" si="109"/>
        <v>0.28330674201144812</v>
      </c>
      <c r="AA161" s="70">
        <f t="shared" si="110"/>
        <v>3.3288542186345156</v>
      </c>
      <c r="AB161" s="430">
        <f>T164/M159</f>
        <v>11273.100970936261</v>
      </c>
    </row>
    <row r="162" spans="10:28" x14ac:dyDescent="0.25">
      <c r="J162" s="489">
        <v>3</v>
      </c>
      <c r="K162" s="431">
        <f>'Structural Information'!$U$9</f>
        <v>3</v>
      </c>
      <c r="L162" s="431">
        <f>L163+K162</f>
        <v>8.75</v>
      </c>
      <c r="M162" s="490">
        <f>'Yield Mechanism'!$X$60</f>
        <v>5.4255422527592035E-3</v>
      </c>
      <c r="N162" s="71">
        <f>M162-M163</f>
        <v>1.83730679743837E-3</v>
      </c>
      <c r="O162" s="491">
        <f t="shared" si="108"/>
        <v>6.1243559914612338E-4</v>
      </c>
      <c r="P162" s="490">
        <f>$C$29</f>
        <v>8.5822017391304368E-3</v>
      </c>
      <c r="Q162" s="490">
        <f>$D$29</f>
        <v>1.7915672005543457E-3</v>
      </c>
      <c r="R162" s="431">
        <f t="shared" si="111"/>
        <v>7.1361128270118757E-2</v>
      </c>
      <c r="S162" s="70">
        <f>O162/Q162</f>
        <v>0.34184349822692889</v>
      </c>
      <c r="T162" s="431">
        <f>_xlfn.IFS((O162&lt;='Infill Capacities'!$CW$17),(O162*'Infill Capacities'!$CR$17*'Infill Capacities'!$CQ$7),(AND((O162&gt;'Infill Capacities'!$CW$17),(O162&lt;='Infill Capacities'!$CX$17))),((O162-'Infill Capacities'!$CW$17)*'Infill Capacities'!$CQ$7*('Infill Capacities'!$CS$17)+'Infill Capacities'!$CM$17),(AND((O162&gt;'Infill Capacities'!$CX$17),(O162&lt;='Infill Capacities'!$CY$17))),((O162-'Infill Capacities'!$CX$17)*'Infill Capacities'!$CQ$7*('Infill Capacities'!$CT$17)+'Infill Capacities'!$CN$17),(AND((O162&gt;'Infill Capacities'!$CY$17),(O162&lt;='Infill Capacities'!$CZ$17))),((O162-'Infill Capacities'!$CY$17)*'Infill Capacities'!$CQ$7*('Infill Capacities'!$CU$17)+'Infill Capacities'!$CP$17))+_xlfn.IFS((O162&lt;='Frame Capacities'!$BO$17),(O162*'Frame Capacities'!$BH$7*'Frame Capacities'!$BI$17),(AND((O162&gt;'Frame Capacities'!$BO$17),(O162&lt;='Frame Capacities'!$BP$17))),((O162-'Frame Capacities'!$BO$17)*'Frame Capacities'!$BH$7*('Frame Capacities'!$BJ$17)+'Frame Capacities'!$BC$17),(AND((O162&gt;'Frame Capacities'!$BP$17),(O162&lt;='Frame Capacities'!$BQ$17))),((O162-'Frame Capacities'!$BP$17)*'Frame Capacities'!$BH$7*('Frame Capacities'!$BK$17)+'Frame Capacities'!$BD$17),(AND((O162&gt;'Frame Capacities'!$BQ$17),(O162&lt;='Frame Capacities'!$BR$17))),((O162-'Frame Capacities'!$BQ$17)*'Frame Capacities'!$BH$7*('Frame Capacities'!$BL$17)+'Frame Capacities'!$BE$17))</f>
        <v>84.645179741290264</v>
      </c>
      <c r="U162" s="431">
        <f>U161+T162*K162</f>
        <v>678.01718699829166</v>
      </c>
      <c r="V162" s="494">
        <v>0</v>
      </c>
      <c r="X162" s="69">
        <v>3</v>
      </c>
      <c r="Y162" s="70">
        <f>'Structural Information'!$Z$9</f>
        <v>40.367000000000004</v>
      </c>
      <c r="Z162" s="70">
        <f t="shared" si="109"/>
        <v>0.21901286411713081</v>
      </c>
      <c r="AA162" s="70">
        <f t="shared" si="110"/>
        <v>1.9163625610248947</v>
      </c>
      <c r="AB162" s="351" t="s">
        <v>383</v>
      </c>
    </row>
    <row r="163" spans="10:28" x14ac:dyDescent="0.25">
      <c r="J163" s="489">
        <v>2</v>
      </c>
      <c r="K163" s="431">
        <f>'Structural Information'!$U$10</f>
        <v>3</v>
      </c>
      <c r="L163" s="431">
        <f>L164+K163</f>
        <v>5.75</v>
      </c>
      <c r="M163" s="490">
        <f>'Yield Mechanism'!$X$61</f>
        <v>3.5882354553208335E-3</v>
      </c>
      <c r="N163" s="71">
        <f>M163-M164</f>
        <v>1.9245771380911512E-3</v>
      </c>
      <c r="O163" s="491">
        <f t="shared" si="108"/>
        <v>6.4152571269705035E-4</v>
      </c>
      <c r="P163" s="490">
        <f>$C$30</f>
        <v>6.7523273096129852E-3</v>
      </c>
      <c r="Q163" s="490">
        <f>$D$30</f>
        <v>1.7342707198796904E-3</v>
      </c>
      <c r="R163" s="70">
        <f>O163/P163</f>
        <v>9.5008088808689564E-2</v>
      </c>
      <c r="S163" s="70">
        <f t="shared" ref="S163:S164" si="113">O163/Q163</f>
        <v>0.36991094028362204</v>
      </c>
      <c r="T163" s="431">
        <f>_xlfn.IFS((O163&lt;='Infill Capacities'!$CW$18),(O163*'Infill Capacities'!$CR$18*'Infill Capacities'!$CQ$8),(AND((O163&gt;'Infill Capacities'!$CW$18),(O163&lt;='Infill Capacities'!$CX$18))),((O163-'Infill Capacities'!$CW$18)*'Infill Capacities'!$CQ$8*('Infill Capacities'!$CS$18)+'Infill Capacities'!$CM$18),(AND((O163&gt;'Infill Capacities'!$CX$18),(O163&lt;='Infill Capacities'!$CY$18))),((O163-'Infill Capacities'!$CX$18)*'Infill Capacities'!$CQ$8*('Infill Capacities'!$CT$18)+'Infill Capacities'!$CN$18),(AND((O163&gt;'Infill Capacities'!$CY$18),(O163&lt;='Infill Capacities'!$CZ$18))),((O163-'Infill Capacities'!$CY$18)*'Infill Capacities'!$CQ$8*('Infill Capacities'!$CU$18)+'Infill Capacities'!$CP$18))+_xlfn.IFS((O163&lt;='Frame Capacities'!$BO$18),(O163*'Frame Capacities'!$BH$8*'Frame Capacities'!$BI$18),(AND((O163&gt;'Frame Capacities'!$BO$18),(O163&lt;='Frame Capacities'!$BP$18))),((O163-'Frame Capacities'!$BO$18)*'Frame Capacities'!$BH$8*('Frame Capacities'!$BJ$18)+'Frame Capacities'!$BC$18),(AND((O163&gt;'Frame Capacities'!$BP$18),(O163&lt;='Frame Capacities'!$BQ$18))),((O163-'Frame Capacities'!$BP$18)*'Frame Capacities'!$BH$8*('Frame Capacities'!$BK$18)+'Frame Capacities'!$BD$18),(AND((O163&gt;'Frame Capacities'!$BQ$18),(O163&lt;='Frame Capacities'!$BR$18))),((O163-'Frame Capacities'!$BQ$18)*'Frame Capacities'!$BH$8*('Frame Capacities'!$BL$18)+'Frame Capacities'!$BE$18))</f>
        <v>95.136009639951936</v>
      </c>
      <c r="U163" s="431">
        <f>U162+T163*K163</f>
        <v>963.4252159181475</v>
      </c>
      <c r="V163" s="492"/>
      <c r="X163" s="69">
        <v>2</v>
      </c>
      <c r="Y163" s="70">
        <f>'Structural Information'!$Z$10</f>
        <v>40.367000000000004</v>
      </c>
      <c r="Z163" s="70">
        <f t="shared" si="109"/>
        <v>0.14484630062493611</v>
      </c>
      <c r="AA163" s="70">
        <f t="shared" si="110"/>
        <v>0.83286622859338266</v>
      </c>
      <c r="AB163" s="70">
        <f>(('Structural Information'!$Z$6*M159+'Structural Information'!$Z$7*M160+'Structural Information'!$Z$8*M161+'Structural Information'!$Z$9*M162+'Structural Information'!$Z$10*M163+'Structural Information'!$Z$11*M164)^2)/('Structural Information'!$Z$6*M159*M159+'Structural Information'!$Z$7*M160*M160+'Structural Information'!$Z$8*M161*M161+'Structural Information'!$Z$9*M162*M162+'Structural Information'!$Z$10*M163*M163+'Structural Information'!$Z$11*M164*M164)</f>
        <v>200.77844728267124</v>
      </c>
    </row>
    <row r="164" spans="10:28" x14ac:dyDescent="0.25">
      <c r="J164" s="489">
        <v>1</v>
      </c>
      <c r="K164" s="431">
        <f>'Structural Information'!$U$11</f>
        <v>2.75</v>
      </c>
      <c r="L164" s="431">
        <f>K164</f>
        <v>2.75</v>
      </c>
      <c r="M164" s="490">
        <f>'Yield Mechanism'!$X$62</f>
        <v>1.6636583172296823E-3</v>
      </c>
      <c r="N164" s="71">
        <f>M164</f>
        <v>1.6636583172296823E-3</v>
      </c>
      <c r="O164" s="491">
        <f t="shared" si="108"/>
        <v>6.0496666081079353E-4</v>
      </c>
      <c r="P164" s="490">
        <f>$C$31</f>
        <v>5.3120868684138484E-3</v>
      </c>
      <c r="Q164" s="490">
        <f>$D$31</f>
        <v>1.7606502644787157E-3</v>
      </c>
      <c r="R164" s="70">
        <f t="shared" ref="R164" si="114">O164/P164</f>
        <v>0.11388493369865246</v>
      </c>
      <c r="S164" s="70">
        <f t="shared" si="113"/>
        <v>0.34360410640094324</v>
      </c>
      <c r="T164" s="431">
        <f>_xlfn.IFS((O164&lt;='Infill Capacities'!$CW$19),(O164*'Infill Capacities'!$CR$19*'Infill Capacities'!$CQ$9),(AND((O164&gt;'Infill Capacities'!$CW$19),(O164&lt;='Infill Capacities'!$CX$19))),((O164-'Infill Capacities'!$CW$19)*'Infill Capacities'!$CQ$9*('Infill Capacities'!$CS$19)+'Infill Capacities'!$CM$19),(AND((O164&gt;'Infill Capacities'!$CX$19),(O164&lt;='Infill Capacities'!$CY$19))),((O164-'Infill Capacities'!$CX$19)*'Infill Capacities'!$CQ$9*('Infill Capacities'!$CT$19)+'Infill Capacities'!$CN$19),(AND((O164&gt;'Infill Capacities'!$CY$19),(O164&lt;='Infill Capacities'!$CZ$19))),((O164-'Infill Capacities'!$CY$19)*'Infill Capacities'!$CQ$9*('Infill Capacities'!$CU$19)+'Infill Capacities'!$CP$19))+_xlfn.IFS((O164&lt;='Frame Capacities'!$BO$19),(O164*'Frame Capacities'!$BH$9*'Frame Capacities'!$BI$19),(AND((O164&gt;'Frame Capacities'!$BO$19),(O164&lt;='Frame Capacities'!$BP$19))),((O164-'Frame Capacities'!$BO$19)*'Frame Capacities'!$BH$9*('Frame Capacities'!$BJ$19)+'Frame Capacities'!$BC$19),(AND((O164&gt;'Frame Capacities'!$BP$19),(O164&lt;='Frame Capacities'!$BQ$19))),((O164-'Frame Capacities'!$BP$19)*'Frame Capacities'!$BH$9*('Frame Capacities'!$BK$19)+'Frame Capacities'!$BD$19),(AND((O164&gt;'Frame Capacities'!$BQ$19),(O164&lt;='Frame Capacities'!$BR$19))),((O164-'Frame Capacities'!$BQ$19)*'Frame Capacities'!$BH$9*('Frame Capacities'!$BL$19)+'Frame Capacities'!$BE$19))</f>
        <v>99.99999227978364</v>
      </c>
      <c r="U164" s="431">
        <f>U163+T164*K164</f>
        <v>1238.4251946875524</v>
      </c>
      <c r="V164" s="495"/>
      <c r="X164" s="69">
        <v>1</v>
      </c>
      <c r="Y164" s="70">
        <f>'Structural Information'!$Z$11</f>
        <v>40.367000000000004</v>
      </c>
      <c r="Z164" s="70">
        <f t="shared" si="109"/>
        <v>6.7156895291610591E-2</v>
      </c>
      <c r="AA164" s="70">
        <f t="shared" si="110"/>
        <v>0.18468146205192912</v>
      </c>
      <c r="AB164" s="68" t="s">
        <v>382</v>
      </c>
    </row>
    <row r="165" spans="10:28" x14ac:dyDescent="0.25">
      <c r="X165" s="496"/>
      <c r="Y165" s="68" t="s">
        <v>95</v>
      </c>
      <c r="Z165" s="497">
        <f>SUM(Z159:Z164)</f>
        <v>1.3806947246626657</v>
      </c>
      <c r="AA165" s="497">
        <f>SUM(AA159:AA164)</f>
        <v>17.098871541857882</v>
      </c>
      <c r="AB165" s="430">
        <f>2*PI()*SQRT(AB163/AB161)</f>
        <v>0.83852635202767545</v>
      </c>
    </row>
    <row r="167" spans="10:28" x14ac:dyDescent="0.25">
      <c r="J167" s="956" t="s">
        <v>389</v>
      </c>
      <c r="K167" s="957"/>
      <c r="L167" s="957"/>
      <c r="M167" s="957"/>
      <c r="N167" s="957"/>
      <c r="O167" s="957"/>
      <c r="P167" s="957"/>
      <c r="Q167" s="957"/>
      <c r="R167" s="957"/>
      <c r="S167" s="957"/>
      <c r="T167" s="957"/>
      <c r="U167" s="957"/>
      <c r="V167" s="958"/>
      <c r="W167" s="511"/>
      <c r="X167" s="923" t="s">
        <v>124</v>
      </c>
      <c r="Y167" s="923"/>
      <c r="Z167" s="923"/>
      <c r="AA167" s="923"/>
      <c r="AB167" s="923"/>
    </row>
    <row r="168" spans="10:28" x14ac:dyDescent="0.25">
      <c r="J168" s="590" t="s">
        <v>9</v>
      </c>
      <c r="K168" s="588" t="s">
        <v>3</v>
      </c>
      <c r="L168" s="588" t="s">
        <v>89</v>
      </c>
      <c r="M168" s="590" t="s">
        <v>91</v>
      </c>
      <c r="N168" s="590" t="s">
        <v>98</v>
      </c>
      <c r="O168" s="588" t="s">
        <v>119</v>
      </c>
      <c r="P168" s="588" t="s">
        <v>286</v>
      </c>
      <c r="Q168" s="588" t="s">
        <v>287</v>
      </c>
      <c r="R168" s="590" t="s">
        <v>457</v>
      </c>
      <c r="S168" s="590" t="s">
        <v>458</v>
      </c>
      <c r="T168" s="590" t="s">
        <v>92</v>
      </c>
      <c r="U168" s="588" t="s">
        <v>120</v>
      </c>
      <c r="V168" s="590" t="s">
        <v>96</v>
      </c>
      <c r="X168" s="590" t="s">
        <v>9</v>
      </c>
      <c r="Y168" s="924" t="s">
        <v>93</v>
      </c>
      <c r="Z168" s="924" t="s">
        <v>94</v>
      </c>
      <c r="AA168" s="924" t="s">
        <v>122</v>
      </c>
      <c r="AB168" s="588" t="s">
        <v>123</v>
      </c>
    </row>
    <row r="169" spans="10:28" x14ac:dyDescent="0.25">
      <c r="J169" s="590"/>
      <c r="K169" s="588"/>
      <c r="L169" s="588"/>
      <c r="M169" s="590"/>
      <c r="N169" s="590"/>
      <c r="O169" s="588"/>
      <c r="P169" s="588"/>
      <c r="Q169" s="588"/>
      <c r="R169" s="590"/>
      <c r="S169" s="590"/>
      <c r="T169" s="590"/>
      <c r="U169" s="588"/>
      <c r="V169" s="590"/>
      <c r="X169" s="590"/>
      <c r="Y169" s="924"/>
      <c r="Z169" s="924"/>
      <c r="AA169" s="924"/>
      <c r="AB169" s="588"/>
    </row>
    <row r="170" spans="10:28" x14ac:dyDescent="0.25">
      <c r="J170" s="489">
        <v>6</v>
      </c>
      <c r="K170" s="431">
        <f>'Structural Information'!$U$6</f>
        <v>3</v>
      </c>
      <c r="L170" s="431">
        <f>L171+K170</f>
        <v>17.75</v>
      </c>
      <c r="M170" s="490">
        <f>'Yield Mechanism'!$X$57</f>
        <v>8.8706729885236167E-3</v>
      </c>
      <c r="N170" s="71">
        <f>M170-M171</f>
        <v>6.7920838535619546E-4</v>
      </c>
      <c r="O170" s="491">
        <f t="shared" ref="O170:O175" si="115">N170/K170</f>
        <v>2.2640279511873182E-4</v>
      </c>
      <c r="P170" s="490">
        <f>$C$26</f>
        <v>8.3119145368492249E-3</v>
      </c>
      <c r="Q170" s="490">
        <f>$D$26</f>
        <v>2.2387978504494433E-3</v>
      </c>
      <c r="R170" s="70">
        <f>O170/P170</f>
        <v>2.7238344922222182E-2</v>
      </c>
      <c r="S170" s="70">
        <f>O170/Q170</f>
        <v>0.10112694858684136</v>
      </c>
      <c r="T170" s="431">
        <f>_xlfn.IFS((O170&lt;='Infill Capacities'!$CW$14),(O170*'Infill Capacities'!$CR$14*'Infill Capacities'!$CQ$4),(AND((O170&gt;'Infill Capacities'!$CW$14),(O170&lt;='Infill Capacities'!$CX$14))),((O170-'Infill Capacities'!$CW$14)*'Infill Capacities'!$CQ$4*('Infill Capacities'!$CS$14)+'Infill Capacities'!$CM$14),(AND((O170&gt;'Infill Capacities'!$CX$14),(O170&lt;='Infill Capacities'!$CY$14))),((O170-'Infill Capacities'!$CX$14)*'Infill Capacities'!$CQ$4*('Infill Capacities'!$CT$14)+'Infill Capacities'!$CN$14),(AND((O170&gt;'Infill Capacities'!$CY$14),(O170&lt;='Infill Capacities'!$CZ$14))),((O170-'Infill Capacities'!$CY$14)*'Infill Capacities'!$CQ$4*('Infill Capacities'!$CU$14)+'Infill Capacities'!$CP$14))+_xlfn.IFS((O170&lt;='Frame Capacities'!$BO$14),(O170*'Frame Capacities'!$BH$4*'Frame Capacities'!$BI$14),(AND((O170&gt;'Frame Capacities'!$BO$14),(O170&lt;='Frame Capacities'!$BP$14))),((O170-'Frame Capacities'!$BO$14)*'Frame Capacities'!$BH$4*('Frame Capacities'!$BJ$14)+'Frame Capacities'!$BC$14),(AND((O170&gt;'Frame Capacities'!$BP$14),(O170&lt;='Frame Capacities'!$BQ$14))),((O170-'Frame Capacities'!$BP$14)*'Frame Capacities'!$BH$4*('Frame Capacities'!$BK$14)+'Frame Capacities'!$BD$14),(AND((O170&gt;'Frame Capacities'!$BQ$14),(O170&lt;='Frame Capacities'!$BR$14))),((O170-'Frame Capacities'!$BQ$14)*'Frame Capacities'!$BH$4*('Frame Capacities'!$BL$14)+'Frame Capacities'!$BE$14))</f>
        <v>24.314358638495708</v>
      </c>
      <c r="U170" s="431">
        <f>K170*T170</f>
        <v>72.943075915487128</v>
      </c>
      <c r="V170" s="70">
        <f>U175/AB170</f>
        <v>99.999998772354672</v>
      </c>
      <c r="X170" s="69">
        <v>6</v>
      </c>
      <c r="Y170" s="70">
        <f>'Structural Information'!$Z$6</f>
        <v>37.8446</v>
      </c>
      <c r="Z170" s="70">
        <f t="shared" ref="Z170:Z175" si="116">Y170*M170</f>
        <v>0.33570707098148084</v>
      </c>
      <c r="AA170" s="70">
        <f t="shared" ref="AA170:AA175" si="117">Z170*L170</f>
        <v>5.9588005099212848</v>
      </c>
      <c r="AB170" s="70">
        <f>AA176/Z176</f>
        <v>12.384252098910217</v>
      </c>
    </row>
    <row r="171" spans="10:28" x14ac:dyDescent="0.25">
      <c r="J171" s="489">
        <v>5</v>
      </c>
      <c r="K171" s="431">
        <f>'Structural Information'!$U$7</f>
        <v>3</v>
      </c>
      <c r="L171" s="431">
        <f>L172+K171</f>
        <v>14.75</v>
      </c>
      <c r="M171" s="490">
        <f>'Yield Mechanism'!$X$58</f>
        <v>8.1914646031674213E-3</v>
      </c>
      <c r="N171" s="71">
        <f>M171-M172</f>
        <v>1.1731887339810039E-3</v>
      </c>
      <c r="O171" s="491">
        <f t="shared" si="115"/>
        <v>3.9106291132700129E-4</v>
      </c>
      <c r="P171" s="490">
        <f>$C$27</f>
        <v>9.597600000000003E-3</v>
      </c>
      <c r="Q171" s="490">
        <f>$D$27</f>
        <v>1.92360761471166E-3</v>
      </c>
      <c r="R171" s="70">
        <f t="shared" ref="R171:R173" si="118">O171/P171</f>
        <v>4.0745906406497577E-2</v>
      </c>
      <c r="S171" s="70">
        <f t="shared" ref="S171:S172" si="119">O171/Q171</f>
        <v>0.20329661222807119</v>
      </c>
      <c r="T171" s="431">
        <f>_xlfn.IFS((O171&lt;='Infill Capacities'!$CW$15),(O171*'Infill Capacities'!$CR$15*'Infill Capacities'!$CQ$5),(AND((O171&gt;'Infill Capacities'!$CW$15),(O171&lt;='Infill Capacities'!$CX$15))),((O171-'Infill Capacities'!$CW$15)*'Infill Capacities'!$CQ$5*('Infill Capacities'!$CS$15)+'Infill Capacities'!$CM$15),(AND((O171&gt;'Infill Capacities'!$CX$15),(O171&lt;='Infill Capacities'!$CY$15))),((O171-'Infill Capacities'!$CX$15)*'Infill Capacities'!$CQ$5*('Infill Capacities'!$CT$15)+'Infill Capacities'!$CN$15),(AND((O171&gt;'Infill Capacities'!$CY$15),(O171&lt;='Infill Capacities'!$CZ$15))),((O171-'Infill Capacities'!$CY$15)*'Infill Capacities'!$CQ$5*('Infill Capacities'!$CU$15)+'Infill Capacities'!$CP$15))+_xlfn.IFS((O171&lt;='Frame Capacities'!$BO$15),(O171*'Frame Capacities'!$BH$5*'Frame Capacities'!$BI$15),(AND((O171&gt;'Frame Capacities'!$BO$15),(O171&lt;='Frame Capacities'!$BP$15))),((O171-'Frame Capacities'!$BO$15)*'Frame Capacities'!$BH$5*('Frame Capacities'!$BJ$15)+'Frame Capacities'!$BC$15),(AND((O171&gt;'Frame Capacities'!$BP$15),(O171&lt;='Frame Capacities'!$BQ$15))),((O171-'Frame Capacities'!$BP$15)*'Frame Capacities'!$BH$5*('Frame Capacities'!$BK$15)+'Frame Capacities'!$BD$15),(AND((O171&gt;'Frame Capacities'!$BQ$15),(O171&lt;='Frame Capacities'!$BR$15))),((O171-'Frame Capacities'!$BQ$15)*'Frame Capacities'!$BH$5*('Frame Capacities'!$BL$15)+'Frame Capacities'!$BE$15))</f>
        <v>48.263523243971207</v>
      </c>
      <c r="U171" s="431">
        <f>U170+T171*K171</f>
        <v>217.73364564740075</v>
      </c>
      <c r="V171" s="492"/>
      <c r="X171" s="69">
        <v>5</v>
      </c>
      <c r="Y171" s="70">
        <f>'Structural Information'!$Z$7</f>
        <v>40.367000000000004</v>
      </c>
      <c r="Z171" s="70">
        <f t="shared" si="116"/>
        <v>0.33066485163605935</v>
      </c>
      <c r="AA171" s="70">
        <f t="shared" si="117"/>
        <v>4.8773065616318751</v>
      </c>
      <c r="AB171" s="68" t="s">
        <v>381</v>
      </c>
    </row>
    <row r="172" spans="10:28" x14ac:dyDescent="0.25">
      <c r="J172" s="489">
        <v>4</v>
      </c>
      <c r="K172" s="431">
        <f>'Structural Information'!$U$8</f>
        <v>3</v>
      </c>
      <c r="L172" s="431">
        <f>L173+K172</f>
        <v>11.75</v>
      </c>
      <c r="M172" s="490">
        <f>'Yield Mechanism'!$X$59</f>
        <v>7.0182758691864173E-3</v>
      </c>
      <c r="N172" s="491">
        <f>M172-M173</f>
        <v>1.5927336164272138E-3</v>
      </c>
      <c r="O172" s="491">
        <f t="shared" si="115"/>
        <v>5.3091120547573789E-4</v>
      </c>
      <c r="P172" s="490">
        <f>$C$28</f>
        <v>9.015519176800749E-3</v>
      </c>
      <c r="Q172" s="490">
        <f>$D$28</f>
        <v>1.852250472241956E-3</v>
      </c>
      <c r="R172" s="70">
        <f t="shared" si="118"/>
        <v>5.8888589227552093E-2</v>
      </c>
      <c r="S172" s="70">
        <f t="shared" si="119"/>
        <v>0.28663035233735168</v>
      </c>
      <c r="T172" s="431">
        <f>_xlfn.IFS((O172&lt;='Infill Capacities'!$CW$16),(O172*'Infill Capacities'!$CR$16*'Infill Capacities'!$CQ$6),(AND((O172&gt;'Infill Capacities'!$CW$16),(O172&lt;='Infill Capacities'!$CX$16))),((O172-'Infill Capacities'!$CW$16)*'Infill Capacities'!$CQ$6*('Infill Capacities'!$CS$16)+'Infill Capacities'!$CM$16),(AND((O172&gt;'Infill Capacities'!$CX$16),(O172&lt;='Infill Capacities'!$CY$16))),((O172-'Infill Capacities'!$CX$16)*'Infill Capacities'!$CQ$6*('Infill Capacities'!$CT$16)+'Infill Capacities'!$CN$16),(AND((O172&gt;'Infill Capacities'!$CY$16),(O172&lt;='Infill Capacities'!$CZ$16))),((O172-'Infill Capacities'!$CY$16)*'Infill Capacities'!$CQ$6*('Infill Capacities'!$CU$16)+'Infill Capacities'!$CP$16))+_xlfn.IFS((O172&lt;='Frame Capacities'!$BO$16),(O172*'Frame Capacities'!$BH$6*'Frame Capacities'!$BI$16),(AND((O172&gt;'Frame Capacities'!$BO$16),(O172&lt;='Frame Capacities'!$BP$16))),((O172-'Frame Capacities'!$BO$16)*'Frame Capacities'!$BH$6*('Frame Capacities'!$BJ$16)+'Frame Capacities'!$BC$16),(AND((O172&gt;'Frame Capacities'!$BP$16),(O172&lt;='Frame Capacities'!$BQ$16))),((O172-'Frame Capacities'!$BP$16)*'Frame Capacities'!$BH$6*('Frame Capacities'!$BK$16)+'Frame Capacities'!$BD$16),(AND((O172&gt;'Frame Capacities'!$BQ$16),(O172&lt;='Frame Capacities'!$BR$16))),((O172-'Frame Capacities'!$BQ$16)*'Frame Capacities'!$BH$6*('Frame Capacities'!$BL$16)+'Frame Capacities'!$BE$16))</f>
        <v>68.782667375673356</v>
      </c>
      <c r="U172" s="431">
        <f>U171+T172*K172</f>
        <v>424.08164777442084</v>
      </c>
      <c r="V172" s="493" t="s">
        <v>130</v>
      </c>
      <c r="X172" s="69">
        <v>4</v>
      </c>
      <c r="Y172" s="70">
        <f>'Structural Information'!$Z$8</f>
        <v>40.367000000000004</v>
      </c>
      <c r="Z172" s="70">
        <f t="shared" si="116"/>
        <v>0.28330674201144812</v>
      </c>
      <c r="AA172" s="70">
        <f t="shared" si="117"/>
        <v>3.3288542186345156</v>
      </c>
      <c r="AB172" s="430">
        <f>T175/M170</f>
        <v>11273.100970936261</v>
      </c>
    </row>
    <row r="173" spans="10:28" x14ac:dyDescent="0.25">
      <c r="J173" s="489">
        <v>3</v>
      </c>
      <c r="K173" s="431">
        <f>'Structural Information'!$U$9</f>
        <v>3</v>
      </c>
      <c r="L173" s="431">
        <f>L174+K173</f>
        <v>8.75</v>
      </c>
      <c r="M173" s="490">
        <f>'Yield Mechanism'!$X$60</f>
        <v>5.4255422527592035E-3</v>
      </c>
      <c r="N173" s="71">
        <f>M173-M174</f>
        <v>1.83730679743837E-3</v>
      </c>
      <c r="O173" s="491">
        <f t="shared" si="115"/>
        <v>6.1243559914612338E-4</v>
      </c>
      <c r="P173" s="490">
        <f>$C$29</f>
        <v>8.5822017391304368E-3</v>
      </c>
      <c r="Q173" s="490">
        <f>$D$29</f>
        <v>1.7915672005543457E-3</v>
      </c>
      <c r="R173" s="431">
        <f t="shared" si="118"/>
        <v>7.1361128270118757E-2</v>
      </c>
      <c r="S173" s="70">
        <f>O173/Q173</f>
        <v>0.34184349822692889</v>
      </c>
      <c r="T173" s="431">
        <f>_xlfn.IFS((O173&lt;='Infill Capacities'!$CW$17),(O173*'Infill Capacities'!$CR$17*'Infill Capacities'!$CQ$7),(AND((O173&gt;'Infill Capacities'!$CW$17),(O173&lt;='Infill Capacities'!$CX$17))),((O173-'Infill Capacities'!$CW$17)*'Infill Capacities'!$CQ$7*('Infill Capacities'!$CS$17)+'Infill Capacities'!$CM$17),(AND((O173&gt;'Infill Capacities'!$CX$17),(O173&lt;='Infill Capacities'!$CY$17))),((O173-'Infill Capacities'!$CX$17)*'Infill Capacities'!$CQ$7*('Infill Capacities'!$CT$17)+'Infill Capacities'!$CN$17),(AND((O173&gt;'Infill Capacities'!$CY$17),(O173&lt;='Infill Capacities'!$CZ$17))),((O173-'Infill Capacities'!$CY$17)*'Infill Capacities'!$CQ$7*('Infill Capacities'!$CU$17)+'Infill Capacities'!$CP$17))+_xlfn.IFS((O173&lt;='Frame Capacities'!$BO$17),(O173*'Frame Capacities'!$BH$7*'Frame Capacities'!$BI$17),(AND((O173&gt;'Frame Capacities'!$BO$17),(O173&lt;='Frame Capacities'!$BP$17))),((O173-'Frame Capacities'!$BO$17)*'Frame Capacities'!$BH$7*('Frame Capacities'!$BJ$17)+'Frame Capacities'!$BC$17),(AND((O173&gt;'Frame Capacities'!$BP$17),(O173&lt;='Frame Capacities'!$BQ$17))),((O173-'Frame Capacities'!$BP$17)*'Frame Capacities'!$BH$7*('Frame Capacities'!$BK$17)+'Frame Capacities'!$BD$17),(AND((O173&gt;'Frame Capacities'!$BQ$17),(O173&lt;='Frame Capacities'!$BR$17))),((O173-'Frame Capacities'!$BQ$17)*'Frame Capacities'!$BH$7*('Frame Capacities'!$BL$17)+'Frame Capacities'!$BE$17))</f>
        <v>84.645179741290264</v>
      </c>
      <c r="U173" s="431">
        <f>U172+T173*K173</f>
        <v>678.01718699829166</v>
      </c>
      <c r="V173" s="494">
        <v>0</v>
      </c>
      <c r="X173" s="69">
        <v>3</v>
      </c>
      <c r="Y173" s="70">
        <f>'Structural Information'!$Z$9</f>
        <v>40.367000000000004</v>
      </c>
      <c r="Z173" s="70">
        <f t="shared" si="116"/>
        <v>0.21901286411713081</v>
      </c>
      <c r="AA173" s="70">
        <f t="shared" si="117"/>
        <v>1.9163625610248947</v>
      </c>
      <c r="AB173" s="351" t="s">
        <v>383</v>
      </c>
    </row>
    <row r="174" spans="10:28" x14ac:dyDescent="0.25">
      <c r="J174" s="489">
        <v>2</v>
      </c>
      <c r="K174" s="431">
        <f>'Structural Information'!$U$10</f>
        <v>3</v>
      </c>
      <c r="L174" s="431">
        <f>L175+K174</f>
        <v>5.75</v>
      </c>
      <c r="M174" s="490">
        <f>'Yield Mechanism'!$X$61</f>
        <v>3.5882354553208335E-3</v>
      </c>
      <c r="N174" s="71">
        <f>M174-M175</f>
        <v>1.9245771380911512E-3</v>
      </c>
      <c r="O174" s="491">
        <f t="shared" si="115"/>
        <v>6.4152571269705035E-4</v>
      </c>
      <c r="P174" s="490">
        <f>$C$30</f>
        <v>6.7523273096129852E-3</v>
      </c>
      <c r="Q174" s="490">
        <f>$D$30</f>
        <v>1.7342707198796904E-3</v>
      </c>
      <c r="R174" s="70">
        <f>O174/P174</f>
        <v>9.5008088808689564E-2</v>
      </c>
      <c r="S174" s="70">
        <f t="shared" ref="S174:S175" si="120">O174/Q174</f>
        <v>0.36991094028362204</v>
      </c>
      <c r="T174" s="431">
        <f>_xlfn.IFS((O174&lt;='Infill Capacities'!$CW$18),(O174*'Infill Capacities'!$CR$18*'Infill Capacities'!$CQ$8),(AND((O174&gt;'Infill Capacities'!$CW$18),(O174&lt;='Infill Capacities'!$CX$18))),((O174-'Infill Capacities'!$CW$18)*'Infill Capacities'!$CQ$8*('Infill Capacities'!$CS$18)+'Infill Capacities'!$CM$18),(AND((O174&gt;'Infill Capacities'!$CX$18),(O174&lt;='Infill Capacities'!$CY$18))),((O174-'Infill Capacities'!$CX$18)*'Infill Capacities'!$CQ$8*('Infill Capacities'!$CT$18)+'Infill Capacities'!$CN$18),(AND((O174&gt;'Infill Capacities'!$CY$18),(O174&lt;='Infill Capacities'!$CZ$18))),((O174-'Infill Capacities'!$CY$18)*'Infill Capacities'!$CQ$8*('Infill Capacities'!$CU$18)+'Infill Capacities'!$CP$18))+_xlfn.IFS((O174&lt;='Frame Capacities'!$BO$18),(O174*'Frame Capacities'!$BH$8*'Frame Capacities'!$BI$18),(AND((O174&gt;'Frame Capacities'!$BO$18),(O174&lt;='Frame Capacities'!$BP$18))),((O174-'Frame Capacities'!$BO$18)*'Frame Capacities'!$BH$8*('Frame Capacities'!$BJ$18)+'Frame Capacities'!$BC$18),(AND((O174&gt;'Frame Capacities'!$BP$18),(O174&lt;='Frame Capacities'!$BQ$18))),((O174-'Frame Capacities'!$BP$18)*'Frame Capacities'!$BH$8*('Frame Capacities'!$BK$18)+'Frame Capacities'!$BD$18),(AND((O174&gt;'Frame Capacities'!$BQ$18),(O174&lt;='Frame Capacities'!$BR$18))),((O174-'Frame Capacities'!$BQ$18)*'Frame Capacities'!$BH$8*('Frame Capacities'!$BL$18)+'Frame Capacities'!$BE$18))</f>
        <v>95.136009639951936</v>
      </c>
      <c r="U174" s="431">
        <f>U173+T174*K174</f>
        <v>963.4252159181475</v>
      </c>
      <c r="V174" s="492"/>
      <c r="X174" s="69">
        <v>2</v>
      </c>
      <c r="Y174" s="70">
        <f>'Structural Information'!$Z$10</f>
        <v>40.367000000000004</v>
      </c>
      <c r="Z174" s="70">
        <f t="shared" si="116"/>
        <v>0.14484630062493611</v>
      </c>
      <c r="AA174" s="70">
        <f t="shared" si="117"/>
        <v>0.83286622859338266</v>
      </c>
      <c r="AB174" s="70">
        <f>(('Structural Information'!$Z$6*M170+'Structural Information'!$Z$7*M171+'Structural Information'!$Z$8*M172+'Structural Information'!$Z$9*M173+'Structural Information'!$Z$10*M174+'Structural Information'!$Z$11*M175)^2)/('Structural Information'!$Z$6*M170*M170+'Structural Information'!$Z$7*M171*M171+'Structural Information'!$Z$8*M172*M172+'Structural Information'!$Z$9*M173*M173+'Structural Information'!$Z$10*M174*M174+'Structural Information'!$Z$11*M175*M175)</f>
        <v>200.77844728267124</v>
      </c>
    </row>
    <row r="175" spans="10:28" x14ac:dyDescent="0.25">
      <c r="J175" s="489">
        <v>1</v>
      </c>
      <c r="K175" s="431">
        <f>'Structural Information'!$U$11</f>
        <v>2.75</v>
      </c>
      <c r="L175" s="431">
        <f>K175</f>
        <v>2.75</v>
      </c>
      <c r="M175" s="490">
        <f>'Yield Mechanism'!$X$62</f>
        <v>1.6636583172296823E-3</v>
      </c>
      <c r="N175" s="71">
        <f>M175</f>
        <v>1.6636583172296823E-3</v>
      </c>
      <c r="O175" s="491">
        <f t="shared" si="115"/>
        <v>6.0496666081079353E-4</v>
      </c>
      <c r="P175" s="490">
        <f>$C$31</f>
        <v>5.3120868684138484E-3</v>
      </c>
      <c r="Q175" s="490">
        <f>$D$31</f>
        <v>1.7606502644787157E-3</v>
      </c>
      <c r="R175" s="70">
        <f t="shared" ref="R175" si="121">O175/P175</f>
        <v>0.11388493369865246</v>
      </c>
      <c r="S175" s="70">
        <f t="shared" si="120"/>
        <v>0.34360410640094324</v>
      </c>
      <c r="T175" s="431">
        <f>_xlfn.IFS((O175&lt;='Infill Capacities'!$CW$19),(O175*'Infill Capacities'!$CR$19*'Infill Capacities'!$CQ$9),(AND((O175&gt;'Infill Capacities'!$CW$19),(O175&lt;='Infill Capacities'!$CX$19))),((O175-'Infill Capacities'!$CW$19)*'Infill Capacities'!$CQ$9*('Infill Capacities'!$CS$19)+'Infill Capacities'!$CM$19),(AND((O175&gt;'Infill Capacities'!$CX$19),(O175&lt;='Infill Capacities'!$CY$19))),((O175-'Infill Capacities'!$CX$19)*'Infill Capacities'!$CQ$9*('Infill Capacities'!$CT$19)+'Infill Capacities'!$CN$19),(AND((O175&gt;'Infill Capacities'!$CY$19),(O175&lt;='Infill Capacities'!$CZ$19))),((O175-'Infill Capacities'!$CY$19)*'Infill Capacities'!$CQ$9*('Infill Capacities'!$CU$19)+'Infill Capacities'!$CP$19))+_xlfn.IFS((O175&lt;='Frame Capacities'!$BO$19),(O175*'Frame Capacities'!$BH$9*'Frame Capacities'!$BI$19),(AND((O175&gt;'Frame Capacities'!$BO$19),(O175&lt;='Frame Capacities'!$BP$19))),((O175-'Frame Capacities'!$BO$19)*'Frame Capacities'!$BH$9*('Frame Capacities'!$BJ$19)+'Frame Capacities'!$BC$19),(AND((O175&gt;'Frame Capacities'!$BP$19),(O175&lt;='Frame Capacities'!$BQ$19))),((O175-'Frame Capacities'!$BP$19)*'Frame Capacities'!$BH$9*('Frame Capacities'!$BK$19)+'Frame Capacities'!$BD$19),(AND((O175&gt;'Frame Capacities'!$BQ$19),(O175&lt;='Frame Capacities'!$BR$19))),((O175-'Frame Capacities'!$BQ$19)*'Frame Capacities'!$BH$9*('Frame Capacities'!$BL$19)+'Frame Capacities'!$BE$19))</f>
        <v>99.99999227978364</v>
      </c>
      <c r="U175" s="431">
        <f>U174+T175*K175</f>
        <v>1238.4251946875524</v>
      </c>
      <c r="V175" s="495"/>
      <c r="X175" s="69">
        <v>1</v>
      </c>
      <c r="Y175" s="70">
        <f>'Structural Information'!$Z$11</f>
        <v>40.367000000000004</v>
      </c>
      <c r="Z175" s="70">
        <f t="shared" si="116"/>
        <v>6.7156895291610591E-2</v>
      </c>
      <c r="AA175" s="70">
        <f t="shared" si="117"/>
        <v>0.18468146205192912</v>
      </c>
      <c r="AB175" s="68" t="s">
        <v>382</v>
      </c>
    </row>
    <row r="176" spans="10:28" x14ac:dyDescent="0.25">
      <c r="X176" s="496"/>
      <c r="Y176" s="68" t="s">
        <v>95</v>
      </c>
      <c r="Z176" s="497">
        <f>SUM(Z170:Z175)</f>
        <v>1.3806947246626657</v>
      </c>
      <c r="AA176" s="497">
        <f>SUM(AA170:AA175)</f>
        <v>17.098871541857882</v>
      </c>
      <c r="AB176" s="430">
        <f>2*PI()*SQRT(AB174/AB172)</f>
        <v>0.83852635202767545</v>
      </c>
    </row>
    <row r="177" spans="3:28" x14ac:dyDescent="0.25">
      <c r="R177" s="512"/>
      <c r="S177" s="512"/>
    </row>
    <row r="178" spans="3:28" x14ac:dyDescent="0.25">
      <c r="J178" s="956" t="s">
        <v>390</v>
      </c>
      <c r="K178" s="957"/>
      <c r="L178" s="957"/>
      <c r="M178" s="957"/>
      <c r="N178" s="957"/>
      <c r="O178" s="957"/>
      <c r="P178" s="957"/>
      <c r="Q178" s="957"/>
      <c r="R178" s="957"/>
      <c r="S178" s="957"/>
      <c r="T178" s="957"/>
      <c r="U178" s="957"/>
      <c r="V178" s="958"/>
      <c r="W178" s="511"/>
      <c r="X178" s="923" t="s">
        <v>124</v>
      </c>
      <c r="Y178" s="923"/>
      <c r="Z178" s="923"/>
      <c r="AA178" s="923"/>
      <c r="AB178" s="923"/>
    </row>
    <row r="179" spans="3:28" x14ac:dyDescent="0.25">
      <c r="J179" s="590" t="s">
        <v>9</v>
      </c>
      <c r="K179" s="588" t="s">
        <v>3</v>
      </c>
      <c r="L179" s="588" t="s">
        <v>89</v>
      </c>
      <c r="M179" s="590" t="s">
        <v>91</v>
      </c>
      <c r="N179" s="590" t="s">
        <v>98</v>
      </c>
      <c r="O179" s="588" t="s">
        <v>119</v>
      </c>
      <c r="P179" s="588" t="s">
        <v>286</v>
      </c>
      <c r="Q179" s="588" t="s">
        <v>287</v>
      </c>
      <c r="R179" s="590" t="s">
        <v>457</v>
      </c>
      <c r="S179" s="590" t="s">
        <v>458</v>
      </c>
      <c r="T179" s="590" t="s">
        <v>92</v>
      </c>
      <c r="U179" s="588" t="s">
        <v>120</v>
      </c>
      <c r="V179" s="590" t="s">
        <v>96</v>
      </c>
      <c r="X179" s="590" t="s">
        <v>9</v>
      </c>
      <c r="Y179" s="924" t="s">
        <v>93</v>
      </c>
      <c r="Z179" s="924" t="s">
        <v>94</v>
      </c>
      <c r="AA179" s="924" t="s">
        <v>122</v>
      </c>
      <c r="AB179" s="588" t="s">
        <v>123</v>
      </c>
    </row>
    <row r="180" spans="3:28" x14ac:dyDescent="0.25">
      <c r="J180" s="590"/>
      <c r="K180" s="588"/>
      <c r="L180" s="588"/>
      <c r="M180" s="590"/>
      <c r="N180" s="590"/>
      <c r="O180" s="588"/>
      <c r="P180" s="588"/>
      <c r="Q180" s="588"/>
      <c r="R180" s="590"/>
      <c r="S180" s="590"/>
      <c r="T180" s="590"/>
      <c r="U180" s="588"/>
      <c r="V180" s="590"/>
      <c r="X180" s="590"/>
      <c r="Y180" s="924"/>
      <c r="Z180" s="924"/>
      <c r="AA180" s="924"/>
      <c r="AB180" s="588"/>
    </row>
    <row r="181" spans="3:28" x14ac:dyDescent="0.25">
      <c r="J181" s="489">
        <v>6</v>
      </c>
      <c r="K181" s="431">
        <f>'Structural Information'!$U$6</f>
        <v>3</v>
      </c>
      <c r="L181" s="431">
        <f>L182+K181</f>
        <v>17.75</v>
      </c>
      <c r="M181" s="490">
        <f>'Yield Mechanism'!$X$57</f>
        <v>8.8706729885236167E-3</v>
      </c>
      <c r="N181" s="71">
        <f>M181-M182</f>
        <v>6.7920838535619546E-4</v>
      </c>
      <c r="O181" s="491">
        <f t="shared" ref="O181:O186" si="122">N181/K181</f>
        <v>2.2640279511873182E-4</v>
      </c>
      <c r="P181" s="490">
        <f>$C$26</f>
        <v>8.3119145368492249E-3</v>
      </c>
      <c r="Q181" s="490">
        <f>$D$26</f>
        <v>2.2387978504494433E-3</v>
      </c>
      <c r="R181" s="70">
        <f>O181/P181</f>
        <v>2.7238344922222182E-2</v>
      </c>
      <c r="S181" s="70">
        <f>O181/Q181</f>
        <v>0.10112694858684136</v>
      </c>
      <c r="T181" s="431">
        <f>_xlfn.IFS((O181&lt;='Infill Capacities'!$CW$14),(O181*'Infill Capacities'!$CR$14*'Infill Capacities'!$CQ$4),(AND((O181&gt;'Infill Capacities'!$CW$14),(O181&lt;='Infill Capacities'!$CX$14))),((O181-'Infill Capacities'!$CW$14)*'Infill Capacities'!$CQ$4*('Infill Capacities'!$CS$14)+'Infill Capacities'!$CM$14),(AND((O181&gt;'Infill Capacities'!$CX$14),(O181&lt;='Infill Capacities'!$CY$14))),((O181-'Infill Capacities'!$CX$14)*'Infill Capacities'!$CQ$4*('Infill Capacities'!$CT$14)+'Infill Capacities'!$CN$14),(AND((O181&gt;'Infill Capacities'!$CY$14),(O181&lt;='Infill Capacities'!$CZ$14))),((O181-'Infill Capacities'!$CY$14)*'Infill Capacities'!$CQ$4*('Infill Capacities'!$CU$14)+'Infill Capacities'!$CP$14))+_xlfn.IFS((O181&lt;='Frame Capacities'!$BO$14),(O181*'Frame Capacities'!$BH$4*'Frame Capacities'!$BI$14),(AND((O181&gt;'Frame Capacities'!$BO$14),(O181&lt;='Frame Capacities'!$BP$14))),((O181-'Frame Capacities'!$BO$14)*'Frame Capacities'!$BH$4*('Frame Capacities'!$BJ$14)+'Frame Capacities'!$BC$14),(AND((O181&gt;'Frame Capacities'!$BP$14),(O181&lt;='Frame Capacities'!$BQ$14))),((O181-'Frame Capacities'!$BP$14)*'Frame Capacities'!$BH$4*('Frame Capacities'!$BK$14)+'Frame Capacities'!$BD$14),(AND((O181&gt;'Frame Capacities'!$BQ$14),(O181&lt;='Frame Capacities'!$BR$14))),((O181-'Frame Capacities'!$BQ$14)*'Frame Capacities'!$BH$4*('Frame Capacities'!$BL$14)+'Frame Capacities'!$BE$14))</f>
        <v>24.314358638495708</v>
      </c>
      <c r="U181" s="431">
        <f>K181*T181</f>
        <v>72.943075915487128</v>
      </c>
      <c r="V181" s="70">
        <f>U186/AB181</f>
        <v>99.999998772354672</v>
      </c>
      <c r="X181" s="69">
        <v>6</v>
      </c>
      <c r="Y181" s="70">
        <f>'Structural Information'!$Z$6</f>
        <v>37.8446</v>
      </c>
      <c r="Z181" s="70">
        <f t="shared" ref="Z181:Z186" si="123">Y181*M181</f>
        <v>0.33570707098148084</v>
      </c>
      <c r="AA181" s="70">
        <f t="shared" ref="AA181:AA186" si="124">Z181*L181</f>
        <v>5.9588005099212848</v>
      </c>
      <c r="AB181" s="70">
        <f>AA187/Z187</f>
        <v>12.384252098910217</v>
      </c>
    </row>
    <row r="182" spans="3:28" x14ac:dyDescent="0.25">
      <c r="J182" s="489">
        <v>5</v>
      </c>
      <c r="K182" s="431">
        <f>'Structural Information'!$U$7</f>
        <v>3</v>
      </c>
      <c r="L182" s="431">
        <f>L183+K182</f>
        <v>14.75</v>
      </c>
      <c r="M182" s="490">
        <f>'Yield Mechanism'!$X$58</f>
        <v>8.1914646031674213E-3</v>
      </c>
      <c r="N182" s="71">
        <f>M182-M183</f>
        <v>1.1731887339810039E-3</v>
      </c>
      <c r="O182" s="491">
        <f t="shared" si="122"/>
        <v>3.9106291132700129E-4</v>
      </c>
      <c r="P182" s="490">
        <f>$C$27</f>
        <v>9.597600000000003E-3</v>
      </c>
      <c r="Q182" s="490">
        <f>$D$27</f>
        <v>1.92360761471166E-3</v>
      </c>
      <c r="R182" s="70">
        <f t="shared" ref="R182:R184" si="125">O182/P182</f>
        <v>4.0745906406497577E-2</v>
      </c>
      <c r="S182" s="70">
        <f t="shared" ref="S182:S183" si="126">O182/Q182</f>
        <v>0.20329661222807119</v>
      </c>
      <c r="T182" s="431">
        <f>_xlfn.IFS((O182&lt;='Infill Capacities'!$CW$15),(O182*'Infill Capacities'!$CR$15*'Infill Capacities'!$CQ$5),(AND((O182&gt;'Infill Capacities'!$CW$15),(O182&lt;='Infill Capacities'!$CX$15))),((O182-'Infill Capacities'!$CW$15)*'Infill Capacities'!$CQ$5*('Infill Capacities'!$CS$15)+'Infill Capacities'!$CM$15),(AND((O182&gt;'Infill Capacities'!$CX$15),(O182&lt;='Infill Capacities'!$CY$15))),((O182-'Infill Capacities'!$CX$15)*'Infill Capacities'!$CQ$5*('Infill Capacities'!$CT$15)+'Infill Capacities'!$CN$15),(AND((O182&gt;'Infill Capacities'!$CY$15),(O182&lt;='Infill Capacities'!$CZ$15))),((O182-'Infill Capacities'!$CY$15)*'Infill Capacities'!$CQ$5*('Infill Capacities'!$CU$15)+'Infill Capacities'!$CP$15))+_xlfn.IFS((O182&lt;='Frame Capacities'!$BO$15),(O182*'Frame Capacities'!$BH$5*'Frame Capacities'!$BI$15),(AND((O182&gt;'Frame Capacities'!$BO$15),(O182&lt;='Frame Capacities'!$BP$15))),((O182-'Frame Capacities'!$BO$15)*'Frame Capacities'!$BH$5*('Frame Capacities'!$BJ$15)+'Frame Capacities'!$BC$15),(AND((O182&gt;'Frame Capacities'!$BP$15),(O182&lt;='Frame Capacities'!$BQ$15))),((O182-'Frame Capacities'!$BP$15)*'Frame Capacities'!$BH$5*('Frame Capacities'!$BK$15)+'Frame Capacities'!$BD$15),(AND((O182&gt;'Frame Capacities'!$BQ$15),(O182&lt;='Frame Capacities'!$BR$15))),((O182-'Frame Capacities'!$BQ$15)*'Frame Capacities'!$BH$5*('Frame Capacities'!$BL$15)+'Frame Capacities'!$BE$15))</f>
        <v>48.263523243971207</v>
      </c>
      <c r="U182" s="431">
        <f>U181+T182*K182</f>
        <v>217.73364564740075</v>
      </c>
      <c r="V182" s="492"/>
      <c r="X182" s="69">
        <v>5</v>
      </c>
      <c r="Y182" s="70">
        <f>'Structural Information'!$Z$7</f>
        <v>40.367000000000004</v>
      </c>
      <c r="Z182" s="70">
        <f t="shared" si="123"/>
        <v>0.33066485163605935</v>
      </c>
      <c r="AA182" s="70">
        <f t="shared" si="124"/>
        <v>4.8773065616318751</v>
      </c>
      <c r="AB182" s="68" t="s">
        <v>381</v>
      </c>
    </row>
    <row r="183" spans="3:28" x14ac:dyDescent="0.25">
      <c r="J183" s="489">
        <v>4</v>
      </c>
      <c r="K183" s="431">
        <f>'Structural Information'!$U$8</f>
        <v>3</v>
      </c>
      <c r="L183" s="431">
        <f>L184+K183</f>
        <v>11.75</v>
      </c>
      <c r="M183" s="490">
        <f>'Yield Mechanism'!$X$59</f>
        <v>7.0182758691864173E-3</v>
      </c>
      <c r="N183" s="491">
        <f>M183-M184</f>
        <v>1.5927336164272138E-3</v>
      </c>
      <c r="O183" s="491">
        <f t="shared" si="122"/>
        <v>5.3091120547573789E-4</v>
      </c>
      <c r="P183" s="490">
        <f>$C$28</f>
        <v>9.015519176800749E-3</v>
      </c>
      <c r="Q183" s="490">
        <f>$D$28</f>
        <v>1.852250472241956E-3</v>
      </c>
      <c r="R183" s="70">
        <f t="shared" si="125"/>
        <v>5.8888589227552093E-2</v>
      </c>
      <c r="S183" s="70">
        <f t="shared" si="126"/>
        <v>0.28663035233735168</v>
      </c>
      <c r="T183" s="431">
        <f>_xlfn.IFS((O183&lt;='Infill Capacities'!$CW$16),(O183*'Infill Capacities'!$CR$16*'Infill Capacities'!$CQ$6),(AND((O183&gt;'Infill Capacities'!$CW$16),(O183&lt;='Infill Capacities'!$CX$16))),((O183-'Infill Capacities'!$CW$16)*'Infill Capacities'!$CQ$6*('Infill Capacities'!$CS$16)+'Infill Capacities'!$CM$16),(AND((O183&gt;'Infill Capacities'!$CX$16),(O183&lt;='Infill Capacities'!$CY$16))),((O183-'Infill Capacities'!$CX$16)*'Infill Capacities'!$CQ$6*('Infill Capacities'!$CT$16)+'Infill Capacities'!$CN$16),(AND((O183&gt;'Infill Capacities'!$CY$16),(O183&lt;='Infill Capacities'!$CZ$16))),((O183-'Infill Capacities'!$CY$16)*'Infill Capacities'!$CQ$6*('Infill Capacities'!$CU$16)+'Infill Capacities'!$CP$16))+_xlfn.IFS((O183&lt;='Frame Capacities'!$BO$16),(O183*'Frame Capacities'!$BH$6*'Frame Capacities'!$BI$16),(AND((O183&gt;'Frame Capacities'!$BO$16),(O183&lt;='Frame Capacities'!$BP$16))),((O183-'Frame Capacities'!$BO$16)*'Frame Capacities'!$BH$6*('Frame Capacities'!$BJ$16)+'Frame Capacities'!$BC$16),(AND((O183&gt;'Frame Capacities'!$BP$16),(O183&lt;='Frame Capacities'!$BQ$16))),((O183-'Frame Capacities'!$BP$16)*'Frame Capacities'!$BH$6*('Frame Capacities'!$BK$16)+'Frame Capacities'!$BD$16),(AND((O183&gt;'Frame Capacities'!$BQ$16),(O183&lt;='Frame Capacities'!$BR$16))),((O183-'Frame Capacities'!$BQ$16)*'Frame Capacities'!$BH$6*('Frame Capacities'!$BL$16)+'Frame Capacities'!$BE$16))</f>
        <v>68.782667375673356</v>
      </c>
      <c r="U183" s="431">
        <f>U182+T183*K183</f>
        <v>424.08164777442084</v>
      </c>
      <c r="V183" s="493" t="s">
        <v>130</v>
      </c>
      <c r="X183" s="69">
        <v>4</v>
      </c>
      <c r="Y183" s="70">
        <f>'Structural Information'!$Z$8</f>
        <v>40.367000000000004</v>
      </c>
      <c r="Z183" s="70">
        <f t="shared" si="123"/>
        <v>0.28330674201144812</v>
      </c>
      <c r="AA183" s="70">
        <f t="shared" si="124"/>
        <v>3.3288542186345156</v>
      </c>
      <c r="AB183" s="430">
        <f>T186/M181</f>
        <v>11273.100970936261</v>
      </c>
    </row>
    <row r="184" spans="3:28" x14ac:dyDescent="0.25">
      <c r="J184" s="489">
        <v>3</v>
      </c>
      <c r="K184" s="431">
        <f>'Structural Information'!$U$9</f>
        <v>3</v>
      </c>
      <c r="L184" s="431">
        <f>L185+K184</f>
        <v>8.75</v>
      </c>
      <c r="M184" s="490">
        <f>'Yield Mechanism'!$X$60</f>
        <v>5.4255422527592035E-3</v>
      </c>
      <c r="N184" s="71">
        <f>M184-M185</f>
        <v>1.83730679743837E-3</v>
      </c>
      <c r="O184" s="491">
        <f t="shared" si="122"/>
        <v>6.1243559914612338E-4</v>
      </c>
      <c r="P184" s="490">
        <f>$C$29</f>
        <v>8.5822017391304368E-3</v>
      </c>
      <c r="Q184" s="490">
        <f>$D$29</f>
        <v>1.7915672005543457E-3</v>
      </c>
      <c r="R184" s="431">
        <f t="shared" si="125"/>
        <v>7.1361128270118757E-2</v>
      </c>
      <c r="S184" s="70">
        <f>O184/Q184</f>
        <v>0.34184349822692889</v>
      </c>
      <c r="T184" s="431">
        <f>_xlfn.IFS((O184&lt;='Infill Capacities'!$CW$17),(O184*'Infill Capacities'!$CR$17*'Infill Capacities'!$CQ$7),(AND((O184&gt;'Infill Capacities'!$CW$17),(O184&lt;='Infill Capacities'!$CX$17))),((O184-'Infill Capacities'!$CW$17)*'Infill Capacities'!$CQ$7*('Infill Capacities'!$CS$17)+'Infill Capacities'!$CM$17),(AND((O184&gt;'Infill Capacities'!$CX$17),(O184&lt;='Infill Capacities'!$CY$17))),((O184-'Infill Capacities'!$CX$17)*'Infill Capacities'!$CQ$7*('Infill Capacities'!$CT$17)+'Infill Capacities'!$CN$17),(AND((O184&gt;'Infill Capacities'!$CY$17),(O184&lt;='Infill Capacities'!$CZ$17))),((O184-'Infill Capacities'!$CY$17)*'Infill Capacities'!$CQ$7*('Infill Capacities'!$CU$17)+'Infill Capacities'!$CP$17))+_xlfn.IFS((O184&lt;='Frame Capacities'!$BO$17),(O184*'Frame Capacities'!$BH$7*'Frame Capacities'!$BI$17),(AND((O184&gt;'Frame Capacities'!$BO$17),(O184&lt;='Frame Capacities'!$BP$17))),((O184-'Frame Capacities'!$BO$17)*'Frame Capacities'!$BH$7*('Frame Capacities'!$BJ$17)+'Frame Capacities'!$BC$17),(AND((O184&gt;'Frame Capacities'!$BP$17),(O184&lt;='Frame Capacities'!$BQ$17))),((O184-'Frame Capacities'!$BP$17)*'Frame Capacities'!$BH$7*('Frame Capacities'!$BK$17)+'Frame Capacities'!$BD$17),(AND((O184&gt;'Frame Capacities'!$BQ$17),(O184&lt;='Frame Capacities'!$BR$17))),((O184-'Frame Capacities'!$BQ$17)*'Frame Capacities'!$BH$7*('Frame Capacities'!$BL$17)+'Frame Capacities'!$BE$17))</f>
        <v>84.645179741290264</v>
      </c>
      <c r="U184" s="431">
        <f>U183+T184*K184</f>
        <v>678.01718699829166</v>
      </c>
      <c r="V184" s="494">
        <v>0</v>
      </c>
      <c r="X184" s="69">
        <v>3</v>
      </c>
      <c r="Y184" s="70">
        <f>'Structural Information'!$Z$9</f>
        <v>40.367000000000004</v>
      </c>
      <c r="Z184" s="70">
        <f t="shared" si="123"/>
        <v>0.21901286411713081</v>
      </c>
      <c r="AA184" s="70">
        <f t="shared" si="124"/>
        <v>1.9163625610248947</v>
      </c>
      <c r="AB184" s="351" t="s">
        <v>383</v>
      </c>
    </row>
    <row r="185" spans="3:28" x14ac:dyDescent="0.25">
      <c r="C185" s="933" t="s">
        <v>316</v>
      </c>
      <c r="D185" s="934"/>
      <c r="E185" s="934"/>
      <c r="F185" s="935"/>
      <c r="J185" s="489">
        <v>2</v>
      </c>
      <c r="K185" s="431">
        <f>'Structural Information'!$U$10</f>
        <v>3</v>
      </c>
      <c r="L185" s="431">
        <f>L186+K185</f>
        <v>5.75</v>
      </c>
      <c r="M185" s="490">
        <f>'Yield Mechanism'!$X$61</f>
        <v>3.5882354553208335E-3</v>
      </c>
      <c r="N185" s="71">
        <f>M185-M186</f>
        <v>1.9245771380911512E-3</v>
      </c>
      <c r="O185" s="491">
        <f t="shared" si="122"/>
        <v>6.4152571269705035E-4</v>
      </c>
      <c r="P185" s="490">
        <f>$C$30</f>
        <v>6.7523273096129852E-3</v>
      </c>
      <c r="Q185" s="490">
        <f>$D$30</f>
        <v>1.7342707198796904E-3</v>
      </c>
      <c r="R185" s="70">
        <f>O185/P185</f>
        <v>9.5008088808689564E-2</v>
      </c>
      <c r="S185" s="70">
        <f t="shared" ref="S185:S186" si="127">O185/Q185</f>
        <v>0.36991094028362204</v>
      </c>
      <c r="T185" s="431">
        <f>_xlfn.IFS((O185&lt;='Infill Capacities'!$CW$18),(O185*'Infill Capacities'!$CR$18*'Infill Capacities'!$CQ$8),(AND((O185&gt;'Infill Capacities'!$CW$18),(O185&lt;='Infill Capacities'!$CX$18))),((O185-'Infill Capacities'!$CW$18)*'Infill Capacities'!$CQ$8*('Infill Capacities'!$CS$18)+'Infill Capacities'!$CM$18),(AND((O185&gt;'Infill Capacities'!$CX$18),(O185&lt;='Infill Capacities'!$CY$18))),((O185-'Infill Capacities'!$CX$18)*'Infill Capacities'!$CQ$8*('Infill Capacities'!$CT$18)+'Infill Capacities'!$CN$18),(AND((O185&gt;'Infill Capacities'!$CY$18),(O185&lt;='Infill Capacities'!$CZ$18))),((O185-'Infill Capacities'!$CY$18)*'Infill Capacities'!$CQ$8*('Infill Capacities'!$CU$18)+'Infill Capacities'!$CP$18))+_xlfn.IFS((O185&lt;='Frame Capacities'!$BO$18),(O185*'Frame Capacities'!$BH$8*'Frame Capacities'!$BI$18),(AND((O185&gt;'Frame Capacities'!$BO$18),(O185&lt;='Frame Capacities'!$BP$18))),((O185-'Frame Capacities'!$BO$18)*'Frame Capacities'!$BH$8*('Frame Capacities'!$BJ$18)+'Frame Capacities'!$BC$18),(AND((O185&gt;'Frame Capacities'!$BP$18),(O185&lt;='Frame Capacities'!$BQ$18))),((O185-'Frame Capacities'!$BP$18)*'Frame Capacities'!$BH$8*('Frame Capacities'!$BK$18)+'Frame Capacities'!$BD$18),(AND((O185&gt;'Frame Capacities'!$BQ$18),(O185&lt;='Frame Capacities'!$BR$18))),((O185-'Frame Capacities'!$BQ$18)*'Frame Capacities'!$BH$8*('Frame Capacities'!$BL$18)+'Frame Capacities'!$BE$18))</f>
        <v>95.136009639951936</v>
      </c>
      <c r="U185" s="431">
        <f>U184+T185*K185</f>
        <v>963.4252159181475</v>
      </c>
      <c r="V185" s="492"/>
      <c r="X185" s="69">
        <v>2</v>
      </c>
      <c r="Y185" s="70">
        <f>'Structural Information'!$Z$10</f>
        <v>40.367000000000004</v>
      </c>
      <c r="Z185" s="70">
        <f t="shared" si="123"/>
        <v>0.14484630062493611</v>
      </c>
      <c r="AA185" s="70">
        <f t="shared" si="124"/>
        <v>0.83286622859338266</v>
      </c>
      <c r="AB185" s="70">
        <f>(('Structural Information'!$Z$6*M181+'Structural Information'!$Z$7*M182+'Structural Information'!$Z$8*M183+'Structural Information'!$Z$9*M184+'Structural Information'!$Z$10*M185+'Structural Information'!$Z$11*M186)^2)/('Structural Information'!$Z$6*M181*M181+'Structural Information'!$Z$7*M182*M182+'Structural Information'!$Z$8*M183*M183+'Structural Information'!$Z$9*M184*M184+'Structural Information'!$Z$10*M185*M185+'Structural Information'!$Z$11*M186*M186)</f>
        <v>200.77844728267124</v>
      </c>
    </row>
    <row r="186" spans="3:28" x14ac:dyDescent="0.25">
      <c r="C186" s="633" t="s">
        <v>9</v>
      </c>
      <c r="D186" s="936" t="str">
        <f>H135</f>
        <v>LS6 Δi</v>
      </c>
      <c r="E186" s="938">
        <f>D125</f>
        <v>-217.75650000000002</v>
      </c>
      <c r="F186" s="633" t="s">
        <v>267</v>
      </c>
      <c r="J186" s="489">
        <v>1</v>
      </c>
      <c r="K186" s="431">
        <f>'Structural Information'!$U$11</f>
        <v>2.75</v>
      </c>
      <c r="L186" s="431">
        <f>K186</f>
        <v>2.75</v>
      </c>
      <c r="M186" s="490">
        <f>'Yield Mechanism'!$X$62</f>
        <v>1.6636583172296823E-3</v>
      </c>
      <c r="N186" s="71">
        <f>M186</f>
        <v>1.6636583172296823E-3</v>
      </c>
      <c r="O186" s="491">
        <f t="shared" si="122"/>
        <v>6.0496666081079353E-4</v>
      </c>
      <c r="P186" s="490">
        <f>$C$31</f>
        <v>5.3120868684138484E-3</v>
      </c>
      <c r="Q186" s="490">
        <f>$D$31</f>
        <v>1.7606502644787157E-3</v>
      </c>
      <c r="R186" s="70">
        <f t="shared" ref="R186" si="128">O186/P186</f>
        <v>0.11388493369865246</v>
      </c>
      <c r="S186" s="70">
        <f t="shared" si="127"/>
        <v>0.34360410640094324</v>
      </c>
      <c r="T186" s="431">
        <f>_xlfn.IFS((O186&lt;='Infill Capacities'!$CW$19),(O186*'Infill Capacities'!$CR$19*'Infill Capacities'!$CQ$9),(AND((O186&gt;'Infill Capacities'!$CW$19),(O186&lt;='Infill Capacities'!$CX$19))),((O186-'Infill Capacities'!$CW$19)*'Infill Capacities'!$CQ$9*('Infill Capacities'!$CS$19)+'Infill Capacities'!$CM$19),(AND((O186&gt;'Infill Capacities'!$CX$19),(O186&lt;='Infill Capacities'!$CY$19))),((O186-'Infill Capacities'!$CX$19)*'Infill Capacities'!$CQ$9*('Infill Capacities'!$CT$19)+'Infill Capacities'!$CN$19),(AND((O186&gt;'Infill Capacities'!$CY$19),(O186&lt;='Infill Capacities'!$CZ$19))),((O186-'Infill Capacities'!$CY$19)*'Infill Capacities'!$CQ$9*('Infill Capacities'!$CU$19)+'Infill Capacities'!$CP$19))+_xlfn.IFS((O186&lt;='Frame Capacities'!$BO$19),(O186*'Frame Capacities'!$BH$9*'Frame Capacities'!$BI$19),(AND((O186&gt;'Frame Capacities'!$BO$19),(O186&lt;='Frame Capacities'!$BP$19))),((O186-'Frame Capacities'!$BO$19)*'Frame Capacities'!$BH$9*('Frame Capacities'!$BJ$19)+'Frame Capacities'!$BC$19),(AND((O186&gt;'Frame Capacities'!$BP$19),(O186&lt;='Frame Capacities'!$BQ$19))),((O186-'Frame Capacities'!$BP$19)*'Frame Capacities'!$BH$9*('Frame Capacities'!$BK$19)+'Frame Capacities'!$BD$19),(AND((O186&gt;'Frame Capacities'!$BQ$19),(O186&lt;='Frame Capacities'!$BR$19))),((O186-'Frame Capacities'!$BQ$19)*'Frame Capacities'!$BH$9*('Frame Capacities'!$BL$19)+'Frame Capacities'!$BE$19))</f>
        <v>99.99999227978364</v>
      </c>
      <c r="U186" s="431">
        <f>U185+T186*K186</f>
        <v>1238.4251946875524</v>
      </c>
      <c r="V186" s="495"/>
      <c r="X186" s="69">
        <v>1</v>
      </c>
      <c r="Y186" s="70">
        <f>'Structural Information'!$Z$11</f>
        <v>40.367000000000004</v>
      </c>
      <c r="Z186" s="70">
        <f t="shared" si="123"/>
        <v>6.7156895291610591E-2</v>
      </c>
      <c r="AA186" s="70">
        <f t="shared" si="124"/>
        <v>0.18468146205192912</v>
      </c>
      <c r="AB186" s="68" t="s">
        <v>382</v>
      </c>
    </row>
    <row r="187" spans="3:28" x14ac:dyDescent="0.25">
      <c r="C187" s="590"/>
      <c r="D187" s="937"/>
      <c r="E187" s="939"/>
      <c r="F187" s="590"/>
      <c r="X187" s="496"/>
      <c r="Y187" s="68" t="s">
        <v>95</v>
      </c>
      <c r="Z187" s="497">
        <f>SUM(Z181:Z186)</f>
        <v>1.3806947246626657</v>
      </c>
      <c r="AA187" s="497">
        <f>SUM(AA181:AA186)</f>
        <v>17.098871541857882</v>
      </c>
      <c r="AB187" s="430">
        <f>2*PI()*SQRT(AB185/AB183)</f>
        <v>0.83852635202767545</v>
      </c>
    </row>
    <row r="188" spans="3:28" x14ac:dyDescent="0.25">
      <c r="C188" s="520">
        <v>6</v>
      </c>
      <c r="D188" s="521">
        <f t="shared" ref="D188:D194" si="129">H137/$H$137</f>
        <v>1</v>
      </c>
      <c r="E188" s="521">
        <f>D126/$D$126</f>
        <v>1</v>
      </c>
      <c r="F188" s="522">
        <f>(E188-D188)/E188</f>
        <v>0</v>
      </c>
      <c r="Q188" s="56"/>
      <c r="T188" s="513"/>
    </row>
    <row r="189" spans="3:28" x14ac:dyDescent="0.25">
      <c r="C189" s="523">
        <v>5</v>
      </c>
      <c r="D189" s="521">
        <f t="shared" si="129"/>
        <v>0.90501904981098025</v>
      </c>
      <c r="E189" s="521">
        <f t="shared" ref="E189:E193" si="130">D127/$D$126</f>
        <v>0.91044013790529332</v>
      </c>
      <c r="F189" s="524">
        <f t="shared" ref="F189:F192" si="131">(E189-D189)/E189</f>
        <v>5.9543597306525968E-3</v>
      </c>
      <c r="J189" s="923" t="s">
        <v>391</v>
      </c>
      <c r="K189" s="923"/>
      <c r="L189" s="923"/>
      <c r="M189" s="923"/>
      <c r="N189" s="923"/>
      <c r="O189" s="923"/>
      <c r="P189" s="923"/>
      <c r="Q189" s="923"/>
      <c r="R189" s="923"/>
      <c r="S189" s="923"/>
      <c r="T189" s="923"/>
      <c r="U189" s="923"/>
      <c r="V189" s="923"/>
      <c r="W189" s="511"/>
      <c r="X189" s="923" t="s">
        <v>124</v>
      </c>
      <c r="Y189" s="923"/>
      <c r="Z189" s="923"/>
      <c r="AA189" s="923"/>
      <c r="AB189" s="923"/>
    </row>
    <row r="190" spans="3:28" x14ac:dyDescent="0.25">
      <c r="C190" s="523">
        <v>4</v>
      </c>
      <c r="D190" s="521">
        <f t="shared" si="129"/>
        <v>0.75609583439418926</v>
      </c>
      <c r="E190" s="521">
        <f t="shared" si="130"/>
        <v>0.76622891885786137</v>
      </c>
      <c r="F190" s="524">
        <f t="shared" si="131"/>
        <v>1.3224617623120336E-2</v>
      </c>
      <c r="J190" s="590" t="s">
        <v>9</v>
      </c>
      <c r="K190" s="588" t="s">
        <v>3</v>
      </c>
      <c r="L190" s="588" t="s">
        <v>89</v>
      </c>
      <c r="M190" s="590" t="s">
        <v>91</v>
      </c>
      <c r="N190" s="590" t="s">
        <v>98</v>
      </c>
      <c r="O190" s="588" t="s">
        <v>119</v>
      </c>
      <c r="P190" s="588" t="s">
        <v>286</v>
      </c>
      <c r="Q190" s="588" t="s">
        <v>287</v>
      </c>
      <c r="R190" s="590" t="s">
        <v>457</v>
      </c>
      <c r="S190" s="590" t="s">
        <v>458</v>
      </c>
      <c r="T190" s="590" t="s">
        <v>92</v>
      </c>
      <c r="U190" s="588" t="s">
        <v>120</v>
      </c>
      <c r="V190" s="590" t="s">
        <v>96</v>
      </c>
      <c r="X190" s="590" t="s">
        <v>9</v>
      </c>
      <c r="Y190" s="924" t="s">
        <v>93</v>
      </c>
      <c r="Z190" s="924" t="s">
        <v>94</v>
      </c>
      <c r="AA190" s="924" t="s">
        <v>122</v>
      </c>
      <c r="AB190" s="588" t="s">
        <v>123</v>
      </c>
    </row>
    <row r="191" spans="3:28" x14ac:dyDescent="0.25">
      <c r="C191" s="523">
        <v>3</v>
      </c>
      <c r="D191" s="521">
        <f t="shared" si="129"/>
        <v>0.57939892008045202</v>
      </c>
      <c r="E191" s="521">
        <f t="shared" si="130"/>
        <v>0.58067066762270536</v>
      </c>
      <c r="F191" s="524">
        <f t="shared" si="131"/>
        <v>2.1901356709818679E-3</v>
      </c>
      <c r="J191" s="590"/>
      <c r="K191" s="588"/>
      <c r="L191" s="588"/>
      <c r="M191" s="590"/>
      <c r="N191" s="590"/>
      <c r="O191" s="588"/>
      <c r="P191" s="588"/>
      <c r="Q191" s="588"/>
      <c r="R191" s="590"/>
      <c r="S191" s="590"/>
      <c r="T191" s="590"/>
      <c r="U191" s="588"/>
      <c r="V191" s="590"/>
      <c r="X191" s="590"/>
      <c r="Y191" s="924"/>
      <c r="Z191" s="924"/>
      <c r="AA191" s="924"/>
      <c r="AB191" s="588"/>
    </row>
    <row r="192" spans="3:28" x14ac:dyDescent="0.25">
      <c r="C192" s="523">
        <v>2</v>
      </c>
      <c r="D192" s="521">
        <f t="shared" si="129"/>
        <v>0.38046108855550348</v>
      </c>
      <c r="E192" s="521">
        <f t="shared" si="130"/>
        <v>0.37983626202005721</v>
      </c>
      <c r="F192" s="524">
        <f t="shared" si="131"/>
        <v>-1.6449891648661805E-3</v>
      </c>
      <c r="J192" s="489">
        <v>6</v>
      </c>
      <c r="K192" s="431">
        <f>'Structural Information'!$U$6</f>
        <v>3</v>
      </c>
      <c r="L192" s="431">
        <f>L193+K192</f>
        <v>17.75</v>
      </c>
      <c r="M192" s="490">
        <f>'Yield Mechanism'!$X$57</f>
        <v>8.8706729885236167E-3</v>
      </c>
      <c r="N192" s="71">
        <f>M192-M193</f>
        <v>6.7920838535619546E-4</v>
      </c>
      <c r="O192" s="491">
        <f t="shared" ref="O192:O197" si="132">N192/K192</f>
        <v>2.2640279511873182E-4</v>
      </c>
      <c r="P192" s="490">
        <f>$C$26</f>
        <v>8.3119145368492249E-3</v>
      </c>
      <c r="Q192" s="490">
        <f>$D$26</f>
        <v>2.2387978504494433E-3</v>
      </c>
      <c r="R192" s="70">
        <f>O192/P192</f>
        <v>2.7238344922222182E-2</v>
      </c>
      <c r="S192" s="70">
        <f>O192/Q192</f>
        <v>0.10112694858684136</v>
      </c>
      <c r="T192" s="431">
        <f>_xlfn.IFS((O192&lt;='Infill Capacities'!$CW$14),(O192*'Infill Capacities'!$CR$14*'Infill Capacities'!$CQ$4),(AND((O192&gt;'Infill Capacities'!$CW$14),(O192&lt;='Infill Capacities'!$CX$14))),((O192-'Infill Capacities'!$CW$14)*'Infill Capacities'!$CQ$4*('Infill Capacities'!$CS$14)+'Infill Capacities'!$CM$14),(AND((O192&gt;'Infill Capacities'!$CX$14),(O192&lt;='Infill Capacities'!$CY$14))),((O192-'Infill Capacities'!$CX$14)*'Infill Capacities'!$CQ$4*('Infill Capacities'!$CT$14)+'Infill Capacities'!$CN$14),(AND((O192&gt;'Infill Capacities'!$CY$14),(O192&lt;='Infill Capacities'!$CZ$14))),((O192-'Infill Capacities'!$CY$14)*'Infill Capacities'!$CQ$4*('Infill Capacities'!$CU$14)+'Infill Capacities'!$CP$14))+_xlfn.IFS((O192&lt;='Frame Capacities'!$BO$14),(O192*'Frame Capacities'!$BH$4*'Frame Capacities'!$BI$14),(AND((O192&gt;'Frame Capacities'!$BO$14),(O192&lt;='Frame Capacities'!$BP$14))),((O192-'Frame Capacities'!$BO$14)*'Frame Capacities'!$BH$4*('Frame Capacities'!$BJ$14)+'Frame Capacities'!$BC$14),(AND((O192&gt;'Frame Capacities'!$BP$14),(O192&lt;='Frame Capacities'!$BQ$14))),((O192-'Frame Capacities'!$BP$14)*'Frame Capacities'!$BH$4*('Frame Capacities'!$BK$14)+'Frame Capacities'!$BD$14),(AND((O192&gt;'Frame Capacities'!$BQ$14),(O192&lt;='Frame Capacities'!$BR$14))),((O192-'Frame Capacities'!$BQ$14)*'Frame Capacities'!$BH$4*('Frame Capacities'!$BL$14)+'Frame Capacities'!$BE$14))</f>
        <v>24.314358638495708</v>
      </c>
      <c r="U192" s="431">
        <f>K192*T192</f>
        <v>72.943075915487128</v>
      </c>
      <c r="V192" s="70">
        <f>U197/AB192</f>
        <v>99.999998772354672</v>
      </c>
      <c r="X192" s="69">
        <v>6</v>
      </c>
      <c r="Y192" s="70">
        <f>'Structural Information'!$Z$6</f>
        <v>37.8446</v>
      </c>
      <c r="Z192" s="70">
        <f t="shared" ref="Z192:Z197" si="133">Y192*M192</f>
        <v>0.33570707098148084</v>
      </c>
      <c r="AA192" s="70">
        <f t="shared" ref="AA192:AA197" si="134">Z192*L192</f>
        <v>5.9588005099212848</v>
      </c>
      <c r="AB192" s="70">
        <f>AA198/Z198</f>
        <v>12.384252098910217</v>
      </c>
    </row>
    <row r="193" spans="3:28" x14ac:dyDescent="0.25">
      <c r="C193" s="523">
        <v>1</v>
      </c>
      <c r="D193" s="521">
        <f t="shared" si="129"/>
        <v>0.18667264694767174</v>
      </c>
      <c r="E193" s="521">
        <f t="shared" si="130"/>
        <v>0.16168904517282362</v>
      </c>
      <c r="F193" s="524">
        <f>(E193-D193)/E193</f>
        <v>-0.15451635420410856</v>
      </c>
      <c r="J193" s="489">
        <v>5</v>
      </c>
      <c r="K193" s="431">
        <f>'Structural Information'!$U$7</f>
        <v>3</v>
      </c>
      <c r="L193" s="431">
        <f>L194+K193</f>
        <v>14.75</v>
      </c>
      <c r="M193" s="490">
        <f>'Yield Mechanism'!$X$58</f>
        <v>8.1914646031674213E-3</v>
      </c>
      <c r="N193" s="71">
        <f>M193-M194</f>
        <v>1.1731887339810039E-3</v>
      </c>
      <c r="O193" s="491">
        <f t="shared" si="132"/>
        <v>3.9106291132700129E-4</v>
      </c>
      <c r="P193" s="490">
        <f>$C$27</f>
        <v>9.597600000000003E-3</v>
      </c>
      <c r="Q193" s="490">
        <f>$D$27</f>
        <v>1.92360761471166E-3</v>
      </c>
      <c r="R193" s="70">
        <f t="shared" ref="R193:R195" si="135">O193/P193</f>
        <v>4.0745906406497577E-2</v>
      </c>
      <c r="S193" s="70">
        <f t="shared" ref="S193:S194" si="136">O193/Q193</f>
        <v>0.20329661222807119</v>
      </c>
      <c r="T193" s="431">
        <f>_xlfn.IFS((O193&lt;='Infill Capacities'!$CW$15),(O193*'Infill Capacities'!$CR$15*'Infill Capacities'!$CQ$5),(AND((O193&gt;'Infill Capacities'!$CW$15),(O193&lt;='Infill Capacities'!$CX$15))),((O193-'Infill Capacities'!$CW$15)*'Infill Capacities'!$CQ$5*('Infill Capacities'!$CS$15)+'Infill Capacities'!$CM$15),(AND((O193&gt;'Infill Capacities'!$CX$15),(O193&lt;='Infill Capacities'!$CY$15))),((O193-'Infill Capacities'!$CX$15)*'Infill Capacities'!$CQ$5*('Infill Capacities'!$CT$15)+'Infill Capacities'!$CN$15),(AND((O193&gt;'Infill Capacities'!$CY$15),(O193&lt;='Infill Capacities'!$CZ$15))),((O193-'Infill Capacities'!$CY$15)*'Infill Capacities'!$CQ$5*('Infill Capacities'!$CU$15)+'Infill Capacities'!$CP$15))+_xlfn.IFS((O193&lt;='Frame Capacities'!$BO$15),(O193*'Frame Capacities'!$BH$5*'Frame Capacities'!$BI$15),(AND((O193&gt;'Frame Capacities'!$BO$15),(O193&lt;='Frame Capacities'!$BP$15))),((O193-'Frame Capacities'!$BO$15)*'Frame Capacities'!$BH$5*('Frame Capacities'!$BJ$15)+'Frame Capacities'!$BC$15),(AND((O193&gt;'Frame Capacities'!$BP$15),(O193&lt;='Frame Capacities'!$BQ$15))),((O193-'Frame Capacities'!$BP$15)*'Frame Capacities'!$BH$5*('Frame Capacities'!$BK$15)+'Frame Capacities'!$BD$15),(AND((O193&gt;'Frame Capacities'!$BQ$15),(O193&lt;='Frame Capacities'!$BR$15))),((O193-'Frame Capacities'!$BQ$15)*'Frame Capacities'!$BH$5*('Frame Capacities'!$BL$15)+'Frame Capacities'!$BE$15))</f>
        <v>48.263523243971207</v>
      </c>
      <c r="U193" s="431">
        <f>U192+T193*K193</f>
        <v>217.73364564740075</v>
      </c>
      <c r="V193" s="492"/>
      <c r="X193" s="69">
        <v>5</v>
      </c>
      <c r="Y193" s="70">
        <f>'Structural Information'!$Z$7</f>
        <v>40.367000000000004</v>
      </c>
      <c r="Z193" s="70">
        <f t="shared" si="133"/>
        <v>0.33066485163605935</v>
      </c>
      <c r="AA193" s="70">
        <f t="shared" si="134"/>
        <v>4.8773065616318751</v>
      </c>
      <c r="AB193" s="68" t="s">
        <v>381</v>
      </c>
    </row>
    <row r="194" spans="3:28" x14ac:dyDescent="0.25">
      <c r="C194" s="525">
        <v>0</v>
      </c>
      <c r="D194" s="526">
        <f t="shared" si="129"/>
        <v>0</v>
      </c>
      <c r="E194" s="526">
        <f>F132/$F$126</f>
        <v>0</v>
      </c>
      <c r="F194" s="527">
        <v>0</v>
      </c>
      <c r="J194" s="489">
        <v>4</v>
      </c>
      <c r="K194" s="431">
        <f>'Structural Information'!$U$8</f>
        <v>3</v>
      </c>
      <c r="L194" s="431">
        <f>L195+K194</f>
        <v>11.75</v>
      </c>
      <c r="M194" s="490">
        <f>'Yield Mechanism'!$X$59</f>
        <v>7.0182758691864173E-3</v>
      </c>
      <c r="N194" s="491">
        <f>M194-M195</f>
        <v>1.5927336164272138E-3</v>
      </c>
      <c r="O194" s="491">
        <f t="shared" si="132"/>
        <v>5.3091120547573789E-4</v>
      </c>
      <c r="P194" s="490">
        <f>$C$28</f>
        <v>9.015519176800749E-3</v>
      </c>
      <c r="Q194" s="490">
        <f>$D$28</f>
        <v>1.852250472241956E-3</v>
      </c>
      <c r="R194" s="70">
        <f t="shared" si="135"/>
        <v>5.8888589227552093E-2</v>
      </c>
      <c r="S194" s="70">
        <f t="shared" si="136"/>
        <v>0.28663035233735168</v>
      </c>
      <c r="T194" s="431">
        <f>_xlfn.IFS((O194&lt;='Infill Capacities'!$CW$16),(O194*'Infill Capacities'!$CR$16*'Infill Capacities'!$CQ$6),(AND((O194&gt;'Infill Capacities'!$CW$16),(O194&lt;='Infill Capacities'!$CX$16))),((O194-'Infill Capacities'!$CW$16)*'Infill Capacities'!$CQ$6*('Infill Capacities'!$CS$16)+'Infill Capacities'!$CM$16),(AND((O194&gt;'Infill Capacities'!$CX$16),(O194&lt;='Infill Capacities'!$CY$16))),((O194-'Infill Capacities'!$CX$16)*'Infill Capacities'!$CQ$6*('Infill Capacities'!$CT$16)+'Infill Capacities'!$CN$16),(AND((O194&gt;'Infill Capacities'!$CY$16),(O194&lt;='Infill Capacities'!$CZ$16))),((O194-'Infill Capacities'!$CY$16)*'Infill Capacities'!$CQ$6*('Infill Capacities'!$CU$16)+'Infill Capacities'!$CP$16))+_xlfn.IFS((O194&lt;='Frame Capacities'!$BO$16),(O194*'Frame Capacities'!$BH$6*'Frame Capacities'!$BI$16),(AND((O194&gt;'Frame Capacities'!$BO$16),(O194&lt;='Frame Capacities'!$BP$16))),((O194-'Frame Capacities'!$BO$16)*'Frame Capacities'!$BH$6*('Frame Capacities'!$BJ$16)+'Frame Capacities'!$BC$16),(AND((O194&gt;'Frame Capacities'!$BP$16),(O194&lt;='Frame Capacities'!$BQ$16))),((O194-'Frame Capacities'!$BP$16)*'Frame Capacities'!$BH$6*('Frame Capacities'!$BK$16)+'Frame Capacities'!$BD$16),(AND((O194&gt;'Frame Capacities'!$BQ$16),(O194&lt;='Frame Capacities'!$BR$16))),((O194-'Frame Capacities'!$BQ$16)*'Frame Capacities'!$BH$6*('Frame Capacities'!$BL$16)+'Frame Capacities'!$BE$16))</f>
        <v>68.782667375673356</v>
      </c>
      <c r="U194" s="431">
        <f>U193+T194*K194</f>
        <v>424.08164777442084</v>
      </c>
      <c r="V194" s="493" t="s">
        <v>130</v>
      </c>
      <c r="X194" s="69">
        <v>4</v>
      </c>
      <c r="Y194" s="70">
        <f>'Structural Information'!$Z$8</f>
        <v>40.367000000000004</v>
      </c>
      <c r="Z194" s="70">
        <f t="shared" si="133"/>
        <v>0.28330674201144812</v>
      </c>
      <c r="AA194" s="70">
        <f t="shared" si="134"/>
        <v>3.3288542186345156</v>
      </c>
      <c r="AB194" s="430">
        <f>T197/M192</f>
        <v>11273.100970936261</v>
      </c>
    </row>
    <row r="195" spans="3:28" x14ac:dyDescent="0.25">
      <c r="J195" s="489">
        <v>3</v>
      </c>
      <c r="K195" s="431">
        <f>'Structural Information'!$U$9</f>
        <v>3</v>
      </c>
      <c r="L195" s="431">
        <f>L196+K195</f>
        <v>8.75</v>
      </c>
      <c r="M195" s="490">
        <f>'Yield Mechanism'!$X$60</f>
        <v>5.4255422527592035E-3</v>
      </c>
      <c r="N195" s="71">
        <f>M195-M196</f>
        <v>1.83730679743837E-3</v>
      </c>
      <c r="O195" s="491">
        <f t="shared" si="132"/>
        <v>6.1243559914612338E-4</v>
      </c>
      <c r="P195" s="490">
        <f>$C$29</f>
        <v>8.5822017391304368E-3</v>
      </c>
      <c r="Q195" s="490">
        <f>$D$29</f>
        <v>1.7915672005543457E-3</v>
      </c>
      <c r="R195" s="431">
        <f t="shared" si="135"/>
        <v>7.1361128270118757E-2</v>
      </c>
      <c r="S195" s="70">
        <f>O195/Q195</f>
        <v>0.34184349822692889</v>
      </c>
      <c r="T195" s="431">
        <f>_xlfn.IFS((O195&lt;='Infill Capacities'!$CW$17),(O195*'Infill Capacities'!$CR$17*'Infill Capacities'!$CQ$7),(AND((O195&gt;'Infill Capacities'!$CW$17),(O195&lt;='Infill Capacities'!$CX$17))),((O195-'Infill Capacities'!$CW$17)*'Infill Capacities'!$CQ$7*('Infill Capacities'!$CS$17)+'Infill Capacities'!$CM$17),(AND((O195&gt;'Infill Capacities'!$CX$17),(O195&lt;='Infill Capacities'!$CY$17))),((O195-'Infill Capacities'!$CX$17)*'Infill Capacities'!$CQ$7*('Infill Capacities'!$CT$17)+'Infill Capacities'!$CN$17),(AND((O195&gt;'Infill Capacities'!$CY$17),(O195&lt;='Infill Capacities'!$CZ$17))),((O195-'Infill Capacities'!$CY$17)*'Infill Capacities'!$CQ$7*('Infill Capacities'!$CU$17)+'Infill Capacities'!$CP$17))+_xlfn.IFS((O195&lt;='Frame Capacities'!$BO$17),(O195*'Frame Capacities'!$BH$7*'Frame Capacities'!$BI$17),(AND((O195&gt;'Frame Capacities'!$BO$17),(O195&lt;='Frame Capacities'!$BP$17))),((O195-'Frame Capacities'!$BO$17)*'Frame Capacities'!$BH$7*('Frame Capacities'!$BJ$17)+'Frame Capacities'!$BC$17),(AND((O195&gt;'Frame Capacities'!$BP$17),(O195&lt;='Frame Capacities'!$BQ$17))),((O195-'Frame Capacities'!$BP$17)*'Frame Capacities'!$BH$7*('Frame Capacities'!$BK$17)+'Frame Capacities'!$BD$17),(AND((O195&gt;'Frame Capacities'!$BQ$17),(O195&lt;='Frame Capacities'!$BR$17))),((O195-'Frame Capacities'!$BQ$17)*'Frame Capacities'!$BH$7*('Frame Capacities'!$BL$17)+'Frame Capacities'!$BE$17))</f>
        <v>84.645179741290264</v>
      </c>
      <c r="U195" s="431">
        <f>U194+T195*K195</f>
        <v>678.01718699829166</v>
      </c>
      <c r="V195" s="494">
        <v>0</v>
      </c>
      <c r="X195" s="69">
        <v>3</v>
      </c>
      <c r="Y195" s="70">
        <f>'Structural Information'!$Z$9</f>
        <v>40.367000000000004</v>
      </c>
      <c r="Z195" s="70">
        <f t="shared" si="133"/>
        <v>0.21901286411713081</v>
      </c>
      <c r="AA195" s="70">
        <f t="shared" si="134"/>
        <v>1.9163625610248947</v>
      </c>
      <c r="AB195" s="351" t="s">
        <v>383</v>
      </c>
    </row>
    <row r="196" spans="3:28" x14ac:dyDescent="0.25">
      <c r="J196" s="489">
        <v>2</v>
      </c>
      <c r="K196" s="431">
        <f>'Structural Information'!$U$10</f>
        <v>3</v>
      </c>
      <c r="L196" s="431">
        <f>L197+K196</f>
        <v>5.75</v>
      </c>
      <c r="M196" s="490">
        <f>'Yield Mechanism'!$X$61</f>
        <v>3.5882354553208335E-3</v>
      </c>
      <c r="N196" s="71">
        <f>M196-M197</f>
        <v>1.9245771380911512E-3</v>
      </c>
      <c r="O196" s="491">
        <f t="shared" si="132"/>
        <v>6.4152571269705035E-4</v>
      </c>
      <c r="P196" s="490">
        <f>$C$30</f>
        <v>6.7523273096129852E-3</v>
      </c>
      <c r="Q196" s="490">
        <f>$D$30</f>
        <v>1.7342707198796904E-3</v>
      </c>
      <c r="R196" s="70">
        <f>O196/P196</f>
        <v>9.5008088808689564E-2</v>
      </c>
      <c r="S196" s="70">
        <f t="shared" ref="S196:S197" si="137">O196/Q196</f>
        <v>0.36991094028362204</v>
      </c>
      <c r="T196" s="431">
        <f>_xlfn.IFS((O196&lt;='Infill Capacities'!$CW$18),(O196*'Infill Capacities'!$CR$18*'Infill Capacities'!$CQ$8),(AND((O196&gt;'Infill Capacities'!$CW$18),(O196&lt;='Infill Capacities'!$CX$18))),((O196-'Infill Capacities'!$CW$18)*'Infill Capacities'!$CQ$8*('Infill Capacities'!$CS$18)+'Infill Capacities'!$CM$18),(AND((O196&gt;'Infill Capacities'!$CX$18),(O196&lt;='Infill Capacities'!$CY$18))),((O196-'Infill Capacities'!$CX$18)*'Infill Capacities'!$CQ$8*('Infill Capacities'!$CT$18)+'Infill Capacities'!$CN$18),(AND((O196&gt;'Infill Capacities'!$CY$18),(O196&lt;='Infill Capacities'!$CZ$18))),((O196-'Infill Capacities'!$CY$18)*'Infill Capacities'!$CQ$8*('Infill Capacities'!$CU$18)+'Infill Capacities'!$CP$18))+_xlfn.IFS((O196&lt;='Frame Capacities'!$BO$18),(O196*'Frame Capacities'!$BH$8*'Frame Capacities'!$BI$18),(AND((O196&gt;'Frame Capacities'!$BO$18),(O196&lt;='Frame Capacities'!$BP$18))),((O196-'Frame Capacities'!$BO$18)*'Frame Capacities'!$BH$8*('Frame Capacities'!$BJ$18)+'Frame Capacities'!$BC$18),(AND((O196&gt;'Frame Capacities'!$BP$18),(O196&lt;='Frame Capacities'!$BQ$18))),((O196-'Frame Capacities'!$BP$18)*'Frame Capacities'!$BH$8*('Frame Capacities'!$BK$18)+'Frame Capacities'!$BD$18),(AND((O196&gt;'Frame Capacities'!$BQ$18),(O196&lt;='Frame Capacities'!$BR$18))),((O196-'Frame Capacities'!$BQ$18)*'Frame Capacities'!$BH$8*('Frame Capacities'!$BL$18)+'Frame Capacities'!$BE$18))</f>
        <v>95.136009639951936</v>
      </c>
      <c r="U196" s="431">
        <f>U195+T196*K196</f>
        <v>963.4252159181475</v>
      </c>
      <c r="V196" s="492"/>
      <c r="X196" s="69">
        <v>2</v>
      </c>
      <c r="Y196" s="70">
        <f>'Structural Information'!$Z$10</f>
        <v>40.367000000000004</v>
      </c>
      <c r="Z196" s="70">
        <f t="shared" si="133"/>
        <v>0.14484630062493611</v>
      </c>
      <c r="AA196" s="70">
        <f t="shared" si="134"/>
        <v>0.83286622859338266</v>
      </c>
      <c r="AB196" s="70">
        <f>(('Structural Information'!$Z$6*M192+'Structural Information'!$Z$7*M193+'Structural Information'!$Z$8*M194+'Structural Information'!$Z$9*M195+'Structural Information'!$Z$10*M196+'Structural Information'!$Z$11*M197)^2)/('Structural Information'!$Z$6*M192*M192+'Structural Information'!$Z$7*M193*M193+'Structural Information'!$Z$8*M194*M194+'Structural Information'!$Z$9*M195*M195+'Structural Information'!$Z$10*M196*M196+'Structural Information'!$Z$11*M197*M197)</f>
        <v>200.77844728267124</v>
      </c>
    </row>
    <row r="197" spans="3:28" x14ac:dyDescent="0.25">
      <c r="J197" s="489">
        <v>1</v>
      </c>
      <c r="K197" s="431">
        <f>'Structural Information'!$U$11</f>
        <v>2.75</v>
      </c>
      <c r="L197" s="431">
        <f>K197</f>
        <v>2.75</v>
      </c>
      <c r="M197" s="490">
        <f>'Yield Mechanism'!$X$62</f>
        <v>1.6636583172296823E-3</v>
      </c>
      <c r="N197" s="71">
        <f>M197</f>
        <v>1.6636583172296823E-3</v>
      </c>
      <c r="O197" s="491">
        <f t="shared" si="132"/>
        <v>6.0496666081079353E-4</v>
      </c>
      <c r="P197" s="490">
        <f>$C$31</f>
        <v>5.3120868684138484E-3</v>
      </c>
      <c r="Q197" s="490">
        <f>$D$31</f>
        <v>1.7606502644787157E-3</v>
      </c>
      <c r="R197" s="70">
        <f t="shared" ref="R197" si="138">O197/P197</f>
        <v>0.11388493369865246</v>
      </c>
      <c r="S197" s="70">
        <f t="shared" si="137"/>
        <v>0.34360410640094324</v>
      </c>
      <c r="T197" s="431">
        <f>_xlfn.IFS((O197&lt;='Infill Capacities'!$CW$19),(O197*'Infill Capacities'!$CR$19*'Infill Capacities'!$CQ$9),(AND((O197&gt;'Infill Capacities'!$CW$19),(O197&lt;='Infill Capacities'!$CX$19))),((O197-'Infill Capacities'!$CW$19)*'Infill Capacities'!$CQ$9*('Infill Capacities'!$CS$19)+'Infill Capacities'!$CM$19),(AND((O197&gt;'Infill Capacities'!$CX$19),(O197&lt;='Infill Capacities'!$CY$19))),((O197-'Infill Capacities'!$CX$19)*'Infill Capacities'!$CQ$9*('Infill Capacities'!$CT$19)+'Infill Capacities'!$CN$19),(AND((O197&gt;'Infill Capacities'!$CY$19),(O197&lt;='Infill Capacities'!$CZ$19))),((O197-'Infill Capacities'!$CY$19)*'Infill Capacities'!$CQ$9*('Infill Capacities'!$CU$19)+'Infill Capacities'!$CP$19))+_xlfn.IFS((O197&lt;='Frame Capacities'!$BO$19),(O197*'Frame Capacities'!$BH$9*'Frame Capacities'!$BI$19),(AND((O197&gt;'Frame Capacities'!$BO$19),(O197&lt;='Frame Capacities'!$BP$19))),((O197-'Frame Capacities'!$BO$19)*'Frame Capacities'!$BH$9*('Frame Capacities'!$BJ$19)+'Frame Capacities'!$BC$19),(AND((O197&gt;'Frame Capacities'!$BP$19),(O197&lt;='Frame Capacities'!$BQ$19))),((O197-'Frame Capacities'!$BP$19)*'Frame Capacities'!$BH$9*('Frame Capacities'!$BK$19)+'Frame Capacities'!$BD$19),(AND((O197&gt;'Frame Capacities'!$BQ$19),(O197&lt;='Frame Capacities'!$BR$19))),((O197-'Frame Capacities'!$BQ$19)*'Frame Capacities'!$BH$9*('Frame Capacities'!$BL$19)+'Frame Capacities'!$BE$19))</f>
        <v>99.99999227978364</v>
      </c>
      <c r="U197" s="431">
        <f>U196+T197*K197</f>
        <v>1238.4251946875524</v>
      </c>
      <c r="V197" s="495"/>
      <c r="X197" s="69">
        <v>1</v>
      </c>
      <c r="Y197" s="70">
        <f>'Structural Information'!$Z$11</f>
        <v>40.367000000000004</v>
      </c>
      <c r="Z197" s="70">
        <f t="shared" si="133"/>
        <v>6.7156895291610591E-2</v>
      </c>
      <c r="AA197" s="70">
        <f t="shared" si="134"/>
        <v>0.18468146205192912</v>
      </c>
      <c r="AB197" s="68" t="s">
        <v>382</v>
      </c>
    </row>
    <row r="198" spans="3:28" x14ac:dyDescent="0.25">
      <c r="X198" s="496"/>
      <c r="Y198" s="68" t="s">
        <v>95</v>
      </c>
      <c r="Z198" s="497">
        <f>SUM(Z192:Z197)</f>
        <v>1.3806947246626657</v>
      </c>
      <c r="AA198" s="497">
        <f>SUM(AA192:AA197)</f>
        <v>17.098871541857882</v>
      </c>
      <c r="AB198" s="430">
        <f>2*PI()*SQRT(AB196/AB194)</f>
        <v>0.83852635202767545</v>
      </c>
    </row>
    <row r="199" spans="3:28" x14ac:dyDescent="0.25">
      <c r="S199" s="56"/>
    </row>
    <row r="200" spans="3:28" x14ac:dyDescent="0.25">
      <c r="J200" s="923" t="s">
        <v>392</v>
      </c>
      <c r="K200" s="923"/>
      <c r="L200" s="923"/>
      <c r="M200" s="923"/>
      <c r="N200" s="923"/>
      <c r="O200" s="923"/>
      <c r="P200" s="923"/>
      <c r="Q200" s="923"/>
      <c r="R200" s="923"/>
      <c r="S200" s="923"/>
      <c r="T200" s="923"/>
      <c r="U200" s="923"/>
      <c r="V200" s="923"/>
      <c r="W200" s="511"/>
      <c r="X200" s="923" t="s">
        <v>124</v>
      </c>
      <c r="Y200" s="923"/>
      <c r="Z200" s="923"/>
      <c r="AA200" s="923"/>
      <c r="AB200" s="923"/>
    </row>
    <row r="201" spans="3:28" x14ac:dyDescent="0.25">
      <c r="J201" s="590" t="s">
        <v>9</v>
      </c>
      <c r="K201" s="588" t="s">
        <v>3</v>
      </c>
      <c r="L201" s="588" t="s">
        <v>89</v>
      </c>
      <c r="M201" s="590" t="s">
        <v>91</v>
      </c>
      <c r="N201" s="590" t="s">
        <v>98</v>
      </c>
      <c r="O201" s="588" t="s">
        <v>119</v>
      </c>
      <c r="P201" s="588" t="s">
        <v>286</v>
      </c>
      <c r="Q201" s="588" t="s">
        <v>287</v>
      </c>
      <c r="R201" s="590" t="s">
        <v>457</v>
      </c>
      <c r="S201" s="590" t="s">
        <v>458</v>
      </c>
      <c r="T201" s="590" t="s">
        <v>92</v>
      </c>
      <c r="U201" s="588" t="s">
        <v>120</v>
      </c>
      <c r="V201" s="590" t="s">
        <v>96</v>
      </c>
      <c r="X201" s="590" t="s">
        <v>9</v>
      </c>
      <c r="Y201" s="924" t="s">
        <v>93</v>
      </c>
      <c r="Z201" s="924" t="s">
        <v>94</v>
      </c>
      <c r="AA201" s="924" t="s">
        <v>122</v>
      </c>
      <c r="AB201" s="588" t="s">
        <v>123</v>
      </c>
    </row>
    <row r="202" spans="3:28" x14ac:dyDescent="0.25">
      <c r="J202" s="590"/>
      <c r="K202" s="588"/>
      <c r="L202" s="588"/>
      <c r="M202" s="590"/>
      <c r="N202" s="590"/>
      <c r="O202" s="588"/>
      <c r="P202" s="588"/>
      <c r="Q202" s="588"/>
      <c r="R202" s="590"/>
      <c r="S202" s="590"/>
      <c r="T202" s="590"/>
      <c r="U202" s="588"/>
      <c r="V202" s="590"/>
      <c r="X202" s="590"/>
      <c r="Y202" s="924"/>
      <c r="Z202" s="924"/>
      <c r="AA202" s="924"/>
      <c r="AB202" s="588"/>
    </row>
    <row r="203" spans="3:28" x14ac:dyDescent="0.25">
      <c r="J203" s="489">
        <v>6</v>
      </c>
      <c r="K203" s="431">
        <f>'Structural Information'!$U$6</f>
        <v>3</v>
      </c>
      <c r="L203" s="431">
        <f>L204+K203</f>
        <v>17.75</v>
      </c>
      <c r="M203" s="490">
        <f>'Yield Mechanism'!$X$57</f>
        <v>8.8706729885236167E-3</v>
      </c>
      <c r="N203" s="71">
        <f>M203-M204</f>
        <v>6.7920838535619546E-4</v>
      </c>
      <c r="O203" s="491">
        <f t="shared" ref="O203:O208" si="139">N203/K203</f>
        <v>2.2640279511873182E-4</v>
      </c>
      <c r="P203" s="490">
        <f>$C$26</f>
        <v>8.3119145368492249E-3</v>
      </c>
      <c r="Q203" s="490">
        <f>$D$26</f>
        <v>2.2387978504494433E-3</v>
      </c>
      <c r="R203" s="70">
        <f>O203/P203</f>
        <v>2.7238344922222182E-2</v>
      </c>
      <c r="S203" s="70">
        <f>O203/Q203</f>
        <v>0.10112694858684136</v>
      </c>
      <c r="T203" s="431">
        <f>_xlfn.IFS((O203&lt;='Infill Capacities'!$CW$14),(O203*'Infill Capacities'!$CR$14*'Infill Capacities'!$CQ$4),(AND((O203&gt;'Infill Capacities'!$CW$14),(O203&lt;='Infill Capacities'!$CX$14))),((O203-'Infill Capacities'!$CW$14)*'Infill Capacities'!$CQ$4*('Infill Capacities'!$CS$14)+'Infill Capacities'!$CM$14),(AND((O203&gt;'Infill Capacities'!$CX$14),(O203&lt;='Infill Capacities'!$CY$14))),((O203-'Infill Capacities'!$CX$14)*'Infill Capacities'!$CQ$4*('Infill Capacities'!$CT$14)+'Infill Capacities'!$CN$14),(AND((O203&gt;'Infill Capacities'!$CY$14),(O203&lt;='Infill Capacities'!$CZ$14))),((O203-'Infill Capacities'!$CY$14)*'Infill Capacities'!$CQ$4*('Infill Capacities'!$CU$14)+'Infill Capacities'!$CP$14))+_xlfn.IFS((O203&lt;='Frame Capacities'!$BO$14),(O203*'Frame Capacities'!$BH$4*'Frame Capacities'!$BI$14),(AND((O203&gt;'Frame Capacities'!$BO$14),(O203&lt;='Frame Capacities'!$BP$14))),((O203-'Frame Capacities'!$BO$14)*'Frame Capacities'!$BH$4*('Frame Capacities'!$BJ$14)+'Frame Capacities'!$BC$14),(AND((O203&gt;'Frame Capacities'!$BP$14),(O203&lt;='Frame Capacities'!$BQ$14))),((O203-'Frame Capacities'!$BP$14)*'Frame Capacities'!$BH$4*('Frame Capacities'!$BK$14)+'Frame Capacities'!$BD$14),(AND((O203&gt;'Frame Capacities'!$BQ$14),(O203&lt;='Frame Capacities'!$BR$14))),((O203-'Frame Capacities'!$BQ$14)*'Frame Capacities'!$BH$4*('Frame Capacities'!$BL$14)+'Frame Capacities'!$BE$14))</f>
        <v>24.314358638495708</v>
      </c>
      <c r="U203" s="431">
        <f>K203*T203</f>
        <v>72.943075915487128</v>
      </c>
      <c r="V203" s="70">
        <f>U208/AB203</f>
        <v>99.999998772354672</v>
      </c>
      <c r="X203" s="69">
        <v>6</v>
      </c>
      <c r="Y203" s="70">
        <f>'Structural Information'!$Z$6</f>
        <v>37.8446</v>
      </c>
      <c r="Z203" s="70">
        <f t="shared" ref="Z203:Z208" si="140">Y203*M203</f>
        <v>0.33570707098148084</v>
      </c>
      <c r="AA203" s="70">
        <f t="shared" ref="AA203:AA208" si="141">Z203*L203</f>
        <v>5.9588005099212848</v>
      </c>
      <c r="AB203" s="70">
        <f>AA209/Z209</f>
        <v>12.384252098910217</v>
      </c>
    </row>
    <row r="204" spans="3:28" x14ac:dyDescent="0.25">
      <c r="J204" s="489">
        <v>5</v>
      </c>
      <c r="K204" s="431">
        <f>'Structural Information'!$U$7</f>
        <v>3</v>
      </c>
      <c r="L204" s="431">
        <f>L205+K204</f>
        <v>14.75</v>
      </c>
      <c r="M204" s="490">
        <f>'Yield Mechanism'!$X$58</f>
        <v>8.1914646031674213E-3</v>
      </c>
      <c r="N204" s="71">
        <f>M204-M205</f>
        <v>1.1731887339810039E-3</v>
      </c>
      <c r="O204" s="491">
        <f t="shared" si="139"/>
        <v>3.9106291132700129E-4</v>
      </c>
      <c r="P204" s="490">
        <f>$C$27</f>
        <v>9.597600000000003E-3</v>
      </c>
      <c r="Q204" s="490">
        <f>$D$27</f>
        <v>1.92360761471166E-3</v>
      </c>
      <c r="R204" s="70">
        <f t="shared" ref="R204:R206" si="142">O204/P204</f>
        <v>4.0745906406497577E-2</v>
      </c>
      <c r="S204" s="70">
        <f t="shared" ref="S204:S205" si="143">O204/Q204</f>
        <v>0.20329661222807119</v>
      </c>
      <c r="T204" s="431">
        <f>_xlfn.IFS((O204&lt;='Infill Capacities'!$CW$15),(O204*'Infill Capacities'!$CR$15*'Infill Capacities'!$CQ$5),(AND((O204&gt;'Infill Capacities'!$CW$15),(O204&lt;='Infill Capacities'!$CX$15))),((O204-'Infill Capacities'!$CW$15)*'Infill Capacities'!$CQ$5*('Infill Capacities'!$CS$15)+'Infill Capacities'!$CM$15),(AND((O204&gt;'Infill Capacities'!$CX$15),(O204&lt;='Infill Capacities'!$CY$15))),((O204-'Infill Capacities'!$CX$15)*'Infill Capacities'!$CQ$5*('Infill Capacities'!$CT$15)+'Infill Capacities'!$CN$15),(AND((O204&gt;'Infill Capacities'!$CY$15),(O204&lt;='Infill Capacities'!$CZ$15))),((O204-'Infill Capacities'!$CY$15)*'Infill Capacities'!$CQ$5*('Infill Capacities'!$CU$15)+'Infill Capacities'!$CP$15))+_xlfn.IFS((O204&lt;='Frame Capacities'!$BO$15),(O204*'Frame Capacities'!$BH$5*'Frame Capacities'!$BI$15),(AND((O204&gt;'Frame Capacities'!$BO$15),(O204&lt;='Frame Capacities'!$BP$15))),((O204-'Frame Capacities'!$BO$15)*'Frame Capacities'!$BH$5*('Frame Capacities'!$BJ$15)+'Frame Capacities'!$BC$15),(AND((O204&gt;'Frame Capacities'!$BP$15),(O204&lt;='Frame Capacities'!$BQ$15))),((O204-'Frame Capacities'!$BP$15)*'Frame Capacities'!$BH$5*('Frame Capacities'!$BK$15)+'Frame Capacities'!$BD$15),(AND((O204&gt;'Frame Capacities'!$BQ$15),(O204&lt;='Frame Capacities'!$BR$15))),((O204-'Frame Capacities'!$BQ$15)*'Frame Capacities'!$BH$5*('Frame Capacities'!$BL$15)+'Frame Capacities'!$BE$15))</f>
        <v>48.263523243971207</v>
      </c>
      <c r="U204" s="431">
        <f>U203+T204*K204</f>
        <v>217.73364564740075</v>
      </c>
      <c r="V204" s="492"/>
      <c r="X204" s="69">
        <v>5</v>
      </c>
      <c r="Y204" s="70">
        <f>'Structural Information'!$Z$7</f>
        <v>40.367000000000004</v>
      </c>
      <c r="Z204" s="70">
        <f t="shared" si="140"/>
        <v>0.33066485163605935</v>
      </c>
      <c r="AA204" s="70">
        <f t="shared" si="141"/>
        <v>4.8773065616318751</v>
      </c>
      <c r="AB204" s="68" t="s">
        <v>381</v>
      </c>
    </row>
    <row r="205" spans="3:28" x14ac:dyDescent="0.25">
      <c r="J205" s="489">
        <v>4</v>
      </c>
      <c r="K205" s="431">
        <f>'Structural Information'!$U$8</f>
        <v>3</v>
      </c>
      <c r="L205" s="431">
        <f>L206+K205</f>
        <v>11.75</v>
      </c>
      <c r="M205" s="490">
        <f>'Yield Mechanism'!$X$59</f>
        <v>7.0182758691864173E-3</v>
      </c>
      <c r="N205" s="491">
        <f>M205-M206</f>
        <v>1.5927336164272138E-3</v>
      </c>
      <c r="O205" s="491">
        <f t="shared" si="139"/>
        <v>5.3091120547573789E-4</v>
      </c>
      <c r="P205" s="490">
        <f>$C$28</f>
        <v>9.015519176800749E-3</v>
      </c>
      <c r="Q205" s="490">
        <f>$D$28</f>
        <v>1.852250472241956E-3</v>
      </c>
      <c r="R205" s="70">
        <f t="shared" si="142"/>
        <v>5.8888589227552093E-2</v>
      </c>
      <c r="S205" s="70">
        <f t="shared" si="143"/>
        <v>0.28663035233735168</v>
      </c>
      <c r="T205" s="431">
        <f>_xlfn.IFS((O205&lt;='Infill Capacities'!$CW$16),(O205*'Infill Capacities'!$CR$16*'Infill Capacities'!$CQ$6),(AND((O205&gt;'Infill Capacities'!$CW$16),(O205&lt;='Infill Capacities'!$CX$16))),((O205-'Infill Capacities'!$CW$16)*'Infill Capacities'!$CQ$6*('Infill Capacities'!$CS$16)+'Infill Capacities'!$CM$16),(AND((O205&gt;'Infill Capacities'!$CX$16),(O205&lt;='Infill Capacities'!$CY$16))),((O205-'Infill Capacities'!$CX$16)*'Infill Capacities'!$CQ$6*('Infill Capacities'!$CT$16)+'Infill Capacities'!$CN$16),(AND((O205&gt;'Infill Capacities'!$CY$16),(O205&lt;='Infill Capacities'!$CZ$16))),((O205-'Infill Capacities'!$CY$16)*'Infill Capacities'!$CQ$6*('Infill Capacities'!$CU$16)+'Infill Capacities'!$CP$16))+_xlfn.IFS((O205&lt;='Frame Capacities'!$BO$16),(O205*'Frame Capacities'!$BH$6*'Frame Capacities'!$BI$16),(AND((O205&gt;'Frame Capacities'!$BO$16),(O205&lt;='Frame Capacities'!$BP$16))),((O205-'Frame Capacities'!$BO$16)*'Frame Capacities'!$BH$6*('Frame Capacities'!$BJ$16)+'Frame Capacities'!$BC$16),(AND((O205&gt;'Frame Capacities'!$BP$16),(O205&lt;='Frame Capacities'!$BQ$16))),((O205-'Frame Capacities'!$BP$16)*'Frame Capacities'!$BH$6*('Frame Capacities'!$BK$16)+'Frame Capacities'!$BD$16),(AND((O205&gt;'Frame Capacities'!$BQ$16),(O205&lt;='Frame Capacities'!$BR$16))),((O205-'Frame Capacities'!$BQ$16)*'Frame Capacities'!$BH$6*('Frame Capacities'!$BL$16)+'Frame Capacities'!$BE$16))</f>
        <v>68.782667375673356</v>
      </c>
      <c r="U205" s="431">
        <f>U204+T205*K205</f>
        <v>424.08164777442084</v>
      </c>
      <c r="V205" s="493" t="s">
        <v>130</v>
      </c>
      <c r="X205" s="69">
        <v>4</v>
      </c>
      <c r="Y205" s="70">
        <f>'Structural Information'!$Z$8</f>
        <v>40.367000000000004</v>
      </c>
      <c r="Z205" s="70">
        <f t="shared" si="140"/>
        <v>0.28330674201144812</v>
      </c>
      <c r="AA205" s="70">
        <f t="shared" si="141"/>
        <v>3.3288542186345156</v>
      </c>
      <c r="AB205" s="430">
        <f>T208/M203</f>
        <v>11273.100970936261</v>
      </c>
    </row>
    <row r="206" spans="3:28" x14ac:dyDescent="0.25">
      <c r="J206" s="489">
        <v>3</v>
      </c>
      <c r="K206" s="431">
        <f>'Structural Information'!$U$9</f>
        <v>3</v>
      </c>
      <c r="L206" s="431">
        <f>L207+K206</f>
        <v>8.75</v>
      </c>
      <c r="M206" s="490">
        <f>'Yield Mechanism'!$X$60</f>
        <v>5.4255422527592035E-3</v>
      </c>
      <c r="N206" s="71">
        <f>M206-M207</f>
        <v>1.83730679743837E-3</v>
      </c>
      <c r="O206" s="491">
        <f t="shared" si="139"/>
        <v>6.1243559914612338E-4</v>
      </c>
      <c r="P206" s="490">
        <f>$C$29</f>
        <v>8.5822017391304368E-3</v>
      </c>
      <c r="Q206" s="490">
        <f>$D$29</f>
        <v>1.7915672005543457E-3</v>
      </c>
      <c r="R206" s="431">
        <f t="shared" si="142"/>
        <v>7.1361128270118757E-2</v>
      </c>
      <c r="S206" s="70">
        <f>O206/Q206</f>
        <v>0.34184349822692889</v>
      </c>
      <c r="T206" s="431">
        <f>_xlfn.IFS((O206&lt;='Infill Capacities'!$CW$17),(O206*'Infill Capacities'!$CR$17*'Infill Capacities'!$CQ$7),(AND((O206&gt;'Infill Capacities'!$CW$17),(O206&lt;='Infill Capacities'!$CX$17))),((O206-'Infill Capacities'!$CW$17)*'Infill Capacities'!$CQ$7*('Infill Capacities'!$CS$17)+'Infill Capacities'!$CM$17),(AND((O206&gt;'Infill Capacities'!$CX$17),(O206&lt;='Infill Capacities'!$CY$17))),((O206-'Infill Capacities'!$CX$17)*'Infill Capacities'!$CQ$7*('Infill Capacities'!$CT$17)+'Infill Capacities'!$CN$17),(AND((O206&gt;'Infill Capacities'!$CY$17),(O206&lt;='Infill Capacities'!$CZ$17))),((O206-'Infill Capacities'!$CY$17)*'Infill Capacities'!$CQ$7*('Infill Capacities'!$CU$17)+'Infill Capacities'!$CP$17))+_xlfn.IFS((O206&lt;='Frame Capacities'!$BO$17),(O206*'Frame Capacities'!$BH$7*'Frame Capacities'!$BI$17),(AND((O206&gt;'Frame Capacities'!$BO$17),(O206&lt;='Frame Capacities'!$BP$17))),((O206-'Frame Capacities'!$BO$17)*'Frame Capacities'!$BH$7*('Frame Capacities'!$BJ$17)+'Frame Capacities'!$BC$17),(AND((O206&gt;'Frame Capacities'!$BP$17),(O206&lt;='Frame Capacities'!$BQ$17))),((O206-'Frame Capacities'!$BP$17)*'Frame Capacities'!$BH$7*('Frame Capacities'!$BK$17)+'Frame Capacities'!$BD$17),(AND((O206&gt;'Frame Capacities'!$BQ$17),(O206&lt;='Frame Capacities'!$BR$17))),((O206-'Frame Capacities'!$BQ$17)*'Frame Capacities'!$BH$7*('Frame Capacities'!$BL$17)+'Frame Capacities'!$BE$17))</f>
        <v>84.645179741290264</v>
      </c>
      <c r="U206" s="431">
        <f>U205+T206*K206</f>
        <v>678.01718699829166</v>
      </c>
      <c r="V206" s="494">
        <v>0</v>
      </c>
      <c r="X206" s="69">
        <v>3</v>
      </c>
      <c r="Y206" s="70">
        <f>'Structural Information'!$Z$9</f>
        <v>40.367000000000004</v>
      </c>
      <c r="Z206" s="70">
        <f t="shared" si="140"/>
        <v>0.21901286411713081</v>
      </c>
      <c r="AA206" s="70">
        <f t="shared" si="141"/>
        <v>1.9163625610248947</v>
      </c>
      <c r="AB206" s="351" t="s">
        <v>383</v>
      </c>
    </row>
    <row r="207" spans="3:28" x14ac:dyDescent="0.25">
      <c r="J207" s="489">
        <v>2</v>
      </c>
      <c r="K207" s="431">
        <f>'Structural Information'!$U$10</f>
        <v>3</v>
      </c>
      <c r="L207" s="431">
        <f>L208+K207</f>
        <v>5.75</v>
      </c>
      <c r="M207" s="490">
        <f>'Yield Mechanism'!$X$61</f>
        <v>3.5882354553208335E-3</v>
      </c>
      <c r="N207" s="71">
        <f>M207-M208</f>
        <v>1.9245771380911512E-3</v>
      </c>
      <c r="O207" s="491">
        <f t="shared" si="139"/>
        <v>6.4152571269705035E-4</v>
      </c>
      <c r="P207" s="490">
        <f>$C$30</f>
        <v>6.7523273096129852E-3</v>
      </c>
      <c r="Q207" s="490">
        <f>$D$30</f>
        <v>1.7342707198796904E-3</v>
      </c>
      <c r="R207" s="70">
        <f>O207/P207</f>
        <v>9.5008088808689564E-2</v>
      </c>
      <c r="S207" s="70">
        <f t="shared" ref="S207:S208" si="144">O207/Q207</f>
        <v>0.36991094028362204</v>
      </c>
      <c r="T207" s="431">
        <f>_xlfn.IFS((O207&lt;='Infill Capacities'!$CW$18),(O207*'Infill Capacities'!$CR$18*'Infill Capacities'!$CQ$8),(AND((O207&gt;'Infill Capacities'!$CW$18),(O207&lt;='Infill Capacities'!$CX$18))),((O207-'Infill Capacities'!$CW$18)*'Infill Capacities'!$CQ$8*('Infill Capacities'!$CS$18)+'Infill Capacities'!$CM$18),(AND((O207&gt;'Infill Capacities'!$CX$18),(O207&lt;='Infill Capacities'!$CY$18))),((O207-'Infill Capacities'!$CX$18)*'Infill Capacities'!$CQ$8*('Infill Capacities'!$CT$18)+'Infill Capacities'!$CN$18),(AND((O207&gt;'Infill Capacities'!$CY$18),(O207&lt;='Infill Capacities'!$CZ$18))),((O207-'Infill Capacities'!$CY$18)*'Infill Capacities'!$CQ$8*('Infill Capacities'!$CU$18)+'Infill Capacities'!$CP$18))+_xlfn.IFS((O207&lt;='Frame Capacities'!$BO$18),(O207*'Frame Capacities'!$BH$8*'Frame Capacities'!$BI$18),(AND((O207&gt;'Frame Capacities'!$BO$18),(O207&lt;='Frame Capacities'!$BP$18))),((O207-'Frame Capacities'!$BO$18)*'Frame Capacities'!$BH$8*('Frame Capacities'!$BJ$18)+'Frame Capacities'!$BC$18),(AND((O207&gt;'Frame Capacities'!$BP$18),(O207&lt;='Frame Capacities'!$BQ$18))),((O207-'Frame Capacities'!$BP$18)*'Frame Capacities'!$BH$8*('Frame Capacities'!$BK$18)+'Frame Capacities'!$BD$18),(AND((O207&gt;'Frame Capacities'!$BQ$18),(O207&lt;='Frame Capacities'!$BR$18))),((O207-'Frame Capacities'!$BQ$18)*'Frame Capacities'!$BH$8*('Frame Capacities'!$BL$18)+'Frame Capacities'!$BE$18))</f>
        <v>95.136009639951936</v>
      </c>
      <c r="U207" s="431">
        <f>U206+T207*K207</f>
        <v>963.4252159181475</v>
      </c>
      <c r="V207" s="492"/>
      <c r="X207" s="69">
        <v>2</v>
      </c>
      <c r="Y207" s="70">
        <f>'Structural Information'!$Z$10</f>
        <v>40.367000000000004</v>
      </c>
      <c r="Z207" s="70">
        <f t="shared" si="140"/>
        <v>0.14484630062493611</v>
      </c>
      <c r="AA207" s="70">
        <f t="shared" si="141"/>
        <v>0.83286622859338266</v>
      </c>
      <c r="AB207" s="70">
        <f>(('Structural Information'!$Z$6*M203+'Structural Information'!$Z$7*M204+'Structural Information'!$Z$8*M205+'Structural Information'!$Z$9*M206+'Structural Information'!$Z$10*M207+'Structural Information'!$Z$11*M208)^2)/('Structural Information'!$Z$6*M203*M203+'Structural Information'!$Z$7*M204*M204+'Structural Information'!$Z$8*M205*M205+'Structural Information'!$Z$9*M206*M206+'Structural Information'!$Z$10*M207*M207+'Structural Information'!$Z$11*M208*M208)</f>
        <v>200.77844728267124</v>
      </c>
    </row>
    <row r="208" spans="3:28" x14ac:dyDescent="0.25">
      <c r="J208" s="489">
        <v>1</v>
      </c>
      <c r="K208" s="431">
        <f>'Structural Information'!$U$11</f>
        <v>2.75</v>
      </c>
      <c r="L208" s="431">
        <f>K208</f>
        <v>2.75</v>
      </c>
      <c r="M208" s="490">
        <f>'Yield Mechanism'!$X$62</f>
        <v>1.6636583172296823E-3</v>
      </c>
      <c r="N208" s="71">
        <f>M208</f>
        <v>1.6636583172296823E-3</v>
      </c>
      <c r="O208" s="491">
        <f t="shared" si="139"/>
        <v>6.0496666081079353E-4</v>
      </c>
      <c r="P208" s="490">
        <f>$C$31</f>
        <v>5.3120868684138484E-3</v>
      </c>
      <c r="Q208" s="490">
        <f>$D$31</f>
        <v>1.7606502644787157E-3</v>
      </c>
      <c r="R208" s="70">
        <f t="shared" ref="R208" si="145">O208/P208</f>
        <v>0.11388493369865246</v>
      </c>
      <c r="S208" s="70">
        <f t="shared" si="144"/>
        <v>0.34360410640094324</v>
      </c>
      <c r="T208" s="431">
        <f>_xlfn.IFS((O208&lt;='Infill Capacities'!$CW$19),(O208*'Infill Capacities'!$CR$19*'Infill Capacities'!$CQ$9),(AND((O208&gt;'Infill Capacities'!$CW$19),(O208&lt;='Infill Capacities'!$CX$19))),((O208-'Infill Capacities'!$CW$19)*'Infill Capacities'!$CQ$9*('Infill Capacities'!$CS$19)+'Infill Capacities'!$CM$19),(AND((O208&gt;'Infill Capacities'!$CX$19),(O208&lt;='Infill Capacities'!$CY$19))),((O208-'Infill Capacities'!$CX$19)*'Infill Capacities'!$CQ$9*('Infill Capacities'!$CT$19)+'Infill Capacities'!$CN$19),(AND((O208&gt;'Infill Capacities'!$CY$19),(O208&lt;='Infill Capacities'!$CZ$19))),((O208-'Infill Capacities'!$CY$19)*'Infill Capacities'!$CQ$9*('Infill Capacities'!$CU$19)+'Infill Capacities'!$CP$19))+_xlfn.IFS((O208&lt;='Frame Capacities'!$BO$19),(O208*'Frame Capacities'!$BH$9*'Frame Capacities'!$BI$19),(AND((O208&gt;'Frame Capacities'!$BO$19),(O208&lt;='Frame Capacities'!$BP$19))),((O208-'Frame Capacities'!$BO$19)*'Frame Capacities'!$BH$9*('Frame Capacities'!$BJ$19)+'Frame Capacities'!$BC$19),(AND((O208&gt;'Frame Capacities'!$BP$19),(O208&lt;='Frame Capacities'!$BQ$19))),((O208-'Frame Capacities'!$BP$19)*'Frame Capacities'!$BH$9*('Frame Capacities'!$BK$19)+'Frame Capacities'!$BD$19),(AND((O208&gt;'Frame Capacities'!$BQ$19),(O208&lt;='Frame Capacities'!$BR$19))),((O208-'Frame Capacities'!$BQ$19)*'Frame Capacities'!$BH$9*('Frame Capacities'!$BL$19)+'Frame Capacities'!$BE$19))</f>
        <v>99.99999227978364</v>
      </c>
      <c r="U208" s="431">
        <f>U207+T208*K208</f>
        <v>1238.4251946875524</v>
      </c>
      <c r="V208" s="495"/>
      <c r="X208" s="69">
        <v>1</v>
      </c>
      <c r="Y208" s="70">
        <f>'Structural Information'!$Z$11</f>
        <v>40.367000000000004</v>
      </c>
      <c r="Z208" s="70">
        <f t="shared" si="140"/>
        <v>6.7156895291610591E-2</v>
      </c>
      <c r="AA208" s="70">
        <f t="shared" si="141"/>
        <v>0.18468146205192912</v>
      </c>
      <c r="AB208" s="68" t="s">
        <v>382</v>
      </c>
    </row>
    <row r="209" spans="10:28" x14ac:dyDescent="0.25">
      <c r="X209" s="496"/>
      <c r="Y209" s="68" t="s">
        <v>95</v>
      </c>
      <c r="Z209" s="497">
        <f>SUM(Z203:Z208)</f>
        <v>1.3806947246626657</v>
      </c>
      <c r="AA209" s="497">
        <f>SUM(AA203:AA208)</f>
        <v>17.098871541857882</v>
      </c>
      <c r="AB209" s="430">
        <f>2*PI()*SQRT(AB207/AB205)</f>
        <v>0.83852635202767545</v>
      </c>
    </row>
    <row r="211" spans="10:28" x14ac:dyDescent="0.25">
      <c r="J211" s="923" t="s">
        <v>393</v>
      </c>
      <c r="K211" s="923"/>
      <c r="L211" s="923"/>
      <c r="M211" s="923"/>
      <c r="N211" s="923"/>
      <c r="O211" s="923"/>
      <c r="P211" s="923"/>
      <c r="Q211" s="923"/>
      <c r="R211" s="923"/>
      <c r="S211" s="923"/>
      <c r="T211" s="923"/>
      <c r="U211" s="923"/>
      <c r="V211" s="923"/>
      <c r="W211" s="511"/>
      <c r="X211" s="923" t="s">
        <v>124</v>
      </c>
      <c r="Y211" s="923"/>
      <c r="Z211" s="923"/>
      <c r="AA211" s="923"/>
      <c r="AB211" s="923"/>
    </row>
    <row r="212" spans="10:28" x14ac:dyDescent="0.25">
      <c r="J212" s="590" t="s">
        <v>9</v>
      </c>
      <c r="K212" s="588" t="s">
        <v>3</v>
      </c>
      <c r="L212" s="588" t="s">
        <v>89</v>
      </c>
      <c r="M212" s="590" t="s">
        <v>91</v>
      </c>
      <c r="N212" s="590" t="s">
        <v>98</v>
      </c>
      <c r="O212" s="588" t="s">
        <v>119</v>
      </c>
      <c r="P212" s="588" t="s">
        <v>286</v>
      </c>
      <c r="Q212" s="588" t="s">
        <v>287</v>
      </c>
      <c r="R212" s="590" t="s">
        <v>457</v>
      </c>
      <c r="S212" s="590" t="s">
        <v>458</v>
      </c>
      <c r="T212" s="590" t="s">
        <v>92</v>
      </c>
      <c r="U212" s="588" t="s">
        <v>120</v>
      </c>
      <c r="V212" s="590" t="s">
        <v>96</v>
      </c>
      <c r="X212" s="590" t="s">
        <v>9</v>
      </c>
      <c r="Y212" s="924" t="s">
        <v>93</v>
      </c>
      <c r="Z212" s="924" t="s">
        <v>94</v>
      </c>
      <c r="AA212" s="924" t="s">
        <v>122</v>
      </c>
      <c r="AB212" s="588" t="s">
        <v>123</v>
      </c>
    </row>
    <row r="213" spans="10:28" x14ac:dyDescent="0.25">
      <c r="J213" s="590"/>
      <c r="K213" s="588"/>
      <c r="L213" s="588"/>
      <c r="M213" s="590"/>
      <c r="N213" s="590"/>
      <c r="O213" s="588"/>
      <c r="P213" s="588"/>
      <c r="Q213" s="588"/>
      <c r="R213" s="590"/>
      <c r="S213" s="590"/>
      <c r="T213" s="590"/>
      <c r="U213" s="588"/>
      <c r="V213" s="590"/>
      <c r="X213" s="590"/>
      <c r="Y213" s="924"/>
      <c r="Z213" s="924"/>
      <c r="AA213" s="924"/>
      <c r="AB213" s="588"/>
    </row>
    <row r="214" spans="10:28" x14ac:dyDescent="0.25">
      <c r="J214" s="489">
        <v>6</v>
      </c>
      <c r="K214" s="431">
        <f>'Structural Information'!$U$6</f>
        <v>3</v>
      </c>
      <c r="L214" s="431">
        <f>L215+K214</f>
        <v>17.75</v>
      </c>
      <c r="M214" s="490">
        <f>'Yield Mechanism'!$X$57</f>
        <v>8.8706729885236167E-3</v>
      </c>
      <c r="N214" s="71">
        <f>M214-M215</f>
        <v>6.7920838535619546E-4</v>
      </c>
      <c r="O214" s="491">
        <f t="shared" ref="O214:O219" si="146">N214/K214</f>
        <v>2.2640279511873182E-4</v>
      </c>
      <c r="P214" s="490">
        <f>$C$26</f>
        <v>8.3119145368492249E-3</v>
      </c>
      <c r="Q214" s="490">
        <f>$D$26</f>
        <v>2.2387978504494433E-3</v>
      </c>
      <c r="R214" s="70">
        <f>O214/P214</f>
        <v>2.7238344922222182E-2</v>
      </c>
      <c r="S214" s="70">
        <f>O214/Q214</f>
        <v>0.10112694858684136</v>
      </c>
      <c r="T214" s="431">
        <f>_xlfn.IFS((O214&lt;='Infill Capacities'!$CW$14),(O214*'Infill Capacities'!$CR$14*'Infill Capacities'!$CQ$4),(AND((O214&gt;'Infill Capacities'!$CW$14),(O214&lt;='Infill Capacities'!$CX$14))),((O214-'Infill Capacities'!$CW$14)*'Infill Capacities'!$CQ$4*('Infill Capacities'!$CS$14)+'Infill Capacities'!$CM$14),(AND((O214&gt;'Infill Capacities'!$CX$14),(O214&lt;='Infill Capacities'!$CY$14))),((O214-'Infill Capacities'!$CX$14)*'Infill Capacities'!$CQ$4*('Infill Capacities'!$CT$14)+'Infill Capacities'!$CN$14),(AND((O214&gt;'Infill Capacities'!$CY$14),(O214&lt;='Infill Capacities'!$CZ$14))),((O214-'Infill Capacities'!$CY$14)*'Infill Capacities'!$CQ$4*('Infill Capacities'!$CU$14)+'Infill Capacities'!$CP$14))+_xlfn.IFS((O214&lt;='Frame Capacities'!$BO$14),(O214*'Frame Capacities'!$BH$4*'Frame Capacities'!$BI$14),(AND((O214&gt;'Frame Capacities'!$BO$14),(O214&lt;='Frame Capacities'!$BP$14))),((O214-'Frame Capacities'!$BO$14)*'Frame Capacities'!$BH$4*('Frame Capacities'!$BJ$14)+'Frame Capacities'!$BC$14),(AND((O214&gt;'Frame Capacities'!$BP$14),(O214&lt;='Frame Capacities'!$BQ$14))),((O214-'Frame Capacities'!$BP$14)*'Frame Capacities'!$BH$4*('Frame Capacities'!$BK$14)+'Frame Capacities'!$BD$14),(AND((O214&gt;'Frame Capacities'!$BQ$14),(O214&lt;='Frame Capacities'!$BR$14))),((O214-'Frame Capacities'!$BQ$14)*'Frame Capacities'!$BH$4*('Frame Capacities'!$BL$14)+'Frame Capacities'!$BE$14))</f>
        <v>24.314358638495708</v>
      </c>
      <c r="U214" s="431">
        <f>K214*T214</f>
        <v>72.943075915487128</v>
      </c>
      <c r="V214" s="70">
        <f>U219/AB214</f>
        <v>99.999998772354672</v>
      </c>
      <c r="X214" s="69">
        <v>6</v>
      </c>
      <c r="Y214" s="70">
        <f>'Structural Information'!$Z$6</f>
        <v>37.8446</v>
      </c>
      <c r="Z214" s="70">
        <f t="shared" ref="Z214:Z219" si="147">Y214*M214</f>
        <v>0.33570707098148084</v>
      </c>
      <c r="AA214" s="70">
        <f t="shared" ref="AA214:AA219" si="148">Z214*L214</f>
        <v>5.9588005099212848</v>
      </c>
      <c r="AB214" s="70">
        <f>AA220/Z220</f>
        <v>12.384252098910217</v>
      </c>
    </row>
    <row r="215" spans="10:28" x14ac:dyDescent="0.25">
      <c r="J215" s="489">
        <v>5</v>
      </c>
      <c r="K215" s="431">
        <f>'Structural Information'!$U$7</f>
        <v>3</v>
      </c>
      <c r="L215" s="431">
        <f>L216+K215</f>
        <v>14.75</v>
      </c>
      <c r="M215" s="490">
        <f>'Yield Mechanism'!$X$58</f>
        <v>8.1914646031674213E-3</v>
      </c>
      <c r="N215" s="71">
        <f>M215-M216</f>
        <v>1.1731887339810039E-3</v>
      </c>
      <c r="O215" s="491">
        <f t="shared" si="146"/>
        <v>3.9106291132700129E-4</v>
      </c>
      <c r="P215" s="490">
        <f>$C$27</f>
        <v>9.597600000000003E-3</v>
      </c>
      <c r="Q215" s="490">
        <f>$D$27</f>
        <v>1.92360761471166E-3</v>
      </c>
      <c r="R215" s="70">
        <f t="shared" ref="R215:R217" si="149">O215/P215</f>
        <v>4.0745906406497577E-2</v>
      </c>
      <c r="S215" s="70">
        <f t="shared" ref="S215:S216" si="150">O215/Q215</f>
        <v>0.20329661222807119</v>
      </c>
      <c r="T215" s="431">
        <f>_xlfn.IFS((O215&lt;='Infill Capacities'!$CW$15),(O215*'Infill Capacities'!$CR$15*'Infill Capacities'!$CQ$5),(AND((O215&gt;'Infill Capacities'!$CW$15),(O215&lt;='Infill Capacities'!$CX$15))),((O215-'Infill Capacities'!$CW$15)*'Infill Capacities'!$CQ$5*('Infill Capacities'!$CS$15)+'Infill Capacities'!$CM$15),(AND((O215&gt;'Infill Capacities'!$CX$15),(O215&lt;='Infill Capacities'!$CY$15))),((O215-'Infill Capacities'!$CX$15)*'Infill Capacities'!$CQ$5*('Infill Capacities'!$CT$15)+'Infill Capacities'!$CN$15),(AND((O215&gt;'Infill Capacities'!$CY$15),(O215&lt;='Infill Capacities'!$CZ$15))),((O215-'Infill Capacities'!$CY$15)*'Infill Capacities'!$CQ$5*('Infill Capacities'!$CU$15)+'Infill Capacities'!$CP$15))+_xlfn.IFS((O215&lt;='Frame Capacities'!$BO$15),(O215*'Frame Capacities'!$BH$5*'Frame Capacities'!$BI$15),(AND((O215&gt;'Frame Capacities'!$BO$15),(O215&lt;='Frame Capacities'!$BP$15))),((O215-'Frame Capacities'!$BO$15)*'Frame Capacities'!$BH$5*('Frame Capacities'!$BJ$15)+'Frame Capacities'!$BC$15),(AND((O215&gt;'Frame Capacities'!$BP$15),(O215&lt;='Frame Capacities'!$BQ$15))),((O215-'Frame Capacities'!$BP$15)*'Frame Capacities'!$BH$5*('Frame Capacities'!$BK$15)+'Frame Capacities'!$BD$15),(AND((O215&gt;'Frame Capacities'!$BQ$15),(O215&lt;='Frame Capacities'!$BR$15))),((O215-'Frame Capacities'!$BQ$15)*'Frame Capacities'!$BH$5*('Frame Capacities'!$BL$15)+'Frame Capacities'!$BE$15))</f>
        <v>48.263523243971207</v>
      </c>
      <c r="U215" s="431">
        <f>U214+T215*K215</f>
        <v>217.73364564740075</v>
      </c>
      <c r="V215" s="492"/>
      <c r="X215" s="69">
        <v>5</v>
      </c>
      <c r="Y215" s="70">
        <f>'Structural Information'!$Z$7</f>
        <v>40.367000000000004</v>
      </c>
      <c r="Z215" s="70">
        <f t="shared" si="147"/>
        <v>0.33066485163605935</v>
      </c>
      <c r="AA215" s="70">
        <f t="shared" si="148"/>
        <v>4.8773065616318751</v>
      </c>
      <c r="AB215" s="68" t="s">
        <v>381</v>
      </c>
    </row>
    <row r="216" spans="10:28" x14ac:dyDescent="0.25">
      <c r="J216" s="489">
        <v>4</v>
      </c>
      <c r="K216" s="431">
        <f>'Structural Information'!$U$8</f>
        <v>3</v>
      </c>
      <c r="L216" s="431">
        <f>L217+K216</f>
        <v>11.75</v>
      </c>
      <c r="M216" s="490">
        <f>'Yield Mechanism'!$X$59</f>
        <v>7.0182758691864173E-3</v>
      </c>
      <c r="N216" s="491">
        <f>M216-M217</f>
        <v>1.5927336164272138E-3</v>
      </c>
      <c r="O216" s="491">
        <f t="shared" si="146"/>
        <v>5.3091120547573789E-4</v>
      </c>
      <c r="P216" s="490">
        <f>$C$28</f>
        <v>9.015519176800749E-3</v>
      </c>
      <c r="Q216" s="490">
        <f>$D$28</f>
        <v>1.852250472241956E-3</v>
      </c>
      <c r="R216" s="70">
        <f t="shared" si="149"/>
        <v>5.8888589227552093E-2</v>
      </c>
      <c r="S216" s="70">
        <f t="shared" si="150"/>
        <v>0.28663035233735168</v>
      </c>
      <c r="T216" s="431">
        <f>_xlfn.IFS((O216&lt;='Infill Capacities'!$CW$16),(O216*'Infill Capacities'!$CR$16*'Infill Capacities'!$CQ$6),(AND((O216&gt;'Infill Capacities'!$CW$16),(O216&lt;='Infill Capacities'!$CX$16))),((O216-'Infill Capacities'!$CW$16)*'Infill Capacities'!$CQ$6*('Infill Capacities'!$CS$16)+'Infill Capacities'!$CM$16),(AND((O216&gt;'Infill Capacities'!$CX$16),(O216&lt;='Infill Capacities'!$CY$16))),((O216-'Infill Capacities'!$CX$16)*'Infill Capacities'!$CQ$6*('Infill Capacities'!$CT$16)+'Infill Capacities'!$CN$16),(AND((O216&gt;'Infill Capacities'!$CY$16),(O216&lt;='Infill Capacities'!$CZ$16))),((O216-'Infill Capacities'!$CY$16)*'Infill Capacities'!$CQ$6*('Infill Capacities'!$CU$16)+'Infill Capacities'!$CP$16))+_xlfn.IFS((O216&lt;='Frame Capacities'!$BO$16),(O216*'Frame Capacities'!$BH$6*'Frame Capacities'!$BI$16),(AND((O216&gt;'Frame Capacities'!$BO$16),(O216&lt;='Frame Capacities'!$BP$16))),((O216-'Frame Capacities'!$BO$16)*'Frame Capacities'!$BH$6*('Frame Capacities'!$BJ$16)+'Frame Capacities'!$BC$16),(AND((O216&gt;'Frame Capacities'!$BP$16),(O216&lt;='Frame Capacities'!$BQ$16))),((O216-'Frame Capacities'!$BP$16)*'Frame Capacities'!$BH$6*('Frame Capacities'!$BK$16)+'Frame Capacities'!$BD$16),(AND((O216&gt;'Frame Capacities'!$BQ$16),(O216&lt;='Frame Capacities'!$BR$16))),((O216-'Frame Capacities'!$BQ$16)*'Frame Capacities'!$BH$6*('Frame Capacities'!$BL$16)+'Frame Capacities'!$BE$16))</f>
        <v>68.782667375673356</v>
      </c>
      <c r="U216" s="431">
        <f>U215+T216*K216</f>
        <v>424.08164777442084</v>
      </c>
      <c r="V216" s="493" t="s">
        <v>130</v>
      </c>
      <c r="X216" s="69">
        <v>4</v>
      </c>
      <c r="Y216" s="70">
        <f>'Structural Information'!$Z$8</f>
        <v>40.367000000000004</v>
      </c>
      <c r="Z216" s="70">
        <f t="shared" si="147"/>
        <v>0.28330674201144812</v>
      </c>
      <c r="AA216" s="70">
        <f t="shared" si="148"/>
        <v>3.3288542186345156</v>
      </c>
      <c r="AB216" s="430">
        <f>T219/M214</f>
        <v>11273.100970936261</v>
      </c>
    </row>
    <row r="217" spans="10:28" x14ac:dyDescent="0.25">
      <c r="J217" s="489">
        <v>3</v>
      </c>
      <c r="K217" s="431">
        <f>'Structural Information'!$U$9</f>
        <v>3</v>
      </c>
      <c r="L217" s="431">
        <f>L218+K217</f>
        <v>8.75</v>
      </c>
      <c r="M217" s="490">
        <f>'Yield Mechanism'!$X$60</f>
        <v>5.4255422527592035E-3</v>
      </c>
      <c r="N217" s="71">
        <f>M217-M218</f>
        <v>1.83730679743837E-3</v>
      </c>
      <c r="O217" s="491">
        <f t="shared" si="146"/>
        <v>6.1243559914612338E-4</v>
      </c>
      <c r="P217" s="490">
        <f>$C$29</f>
        <v>8.5822017391304368E-3</v>
      </c>
      <c r="Q217" s="490">
        <f>$D$29</f>
        <v>1.7915672005543457E-3</v>
      </c>
      <c r="R217" s="431">
        <f t="shared" si="149"/>
        <v>7.1361128270118757E-2</v>
      </c>
      <c r="S217" s="70">
        <f>O217/Q217</f>
        <v>0.34184349822692889</v>
      </c>
      <c r="T217" s="431">
        <f>_xlfn.IFS((O217&lt;='Infill Capacities'!$CW$17),(O217*'Infill Capacities'!$CR$17*'Infill Capacities'!$CQ$7),(AND((O217&gt;'Infill Capacities'!$CW$17),(O217&lt;='Infill Capacities'!$CX$17))),((O217-'Infill Capacities'!$CW$17)*'Infill Capacities'!$CQ$7*('Infill Capacities'!$CS$17)+'Infill Capacities'!$CM$17),(AND((O217&gt;'Infill Capacities'!$CX$17),(O217&lt;='Infill Capacities'!$CY$17))),((O217-'Infill Capacities'!$CX$17)*'Infill Capacities'!$CQ$7*('Infill Capacities'!$CT$17)+'Infill Capacities'!$CN$17),(AND((O217&gt;'Infill Capacities'!$CY$17),(O217&lt;='Infill Capacities'!$CZ$17))),((O217-'Infill Capacities'!$CY$17)*'Infill Capacities'!$CQ$7*('Infill Capacities'!$CU$17)+'Infill Capacities'!$CP$17))+_xlfn.IFS((O217&lt;='Frame Capacities'!$BO$17),(O217*'Frame Capacities'!$BH$7*'Frame Capacities'!$BI$17),(AND((O217&gt;'Frame Capacities'!$BO$17),(O217&lt;='Frame Capacities'!$BP$17))),((O217-'Frame Capacities'!$BO$17)*'Frame Capacities'!$BH$7*('Frame Capacities'!$BJ$17)+'Frame Capacities'!$BC$17),(AND((O217&gt;'Frame Capacities'!$BP$17),(O217&lt;='Frame Capacities'!$BQ$17))),((O217-'Frame Capacities'!$BP$17)*'Frame Capacities'!$BH$7*('Frame Capacities'!$BK$17)+'Frame Capacities'!$BD$17),(AND((O217&gt;'Frame Capacities'!$BQ$17),(O217&lt;='Frame Capacities'!$BR$17))),((O217-'Frame Capacities'!$BQ$17)*'Frame Capacities'!$BH$7*('Frame Capacities'!$BL$17)+'Frame Capacities'!$BE$17))</f>
        <v>84.645179741290264</v>
      </c>
      <c r="U217" s="431">
        <f>U216+T217*K217</f>
        <v>678.01718699829166</v>
      </c>
      <c r="V217" s="494">
        <v>0</v>
      </c>
      <c r="X217" s="69">
        <v>3</v>
      </c>
      <c r="Y217" s="70">
        <f>'Structural Information'!$Z$9</f>
        <v>40.367000000000004</v>
      </c>
      <c r="Z217" s="70">
        <f t="shared" si="147"/>
        <v>0.21901286411713081</v>
      </c>
      <c r="AA217" s="70">
        <f t="shared" si="148"/>
        <v>1.9163625610248947</v>
      </c>
      <c r="AB217" s="351" t="s">
        <v>383</v>
      </c>
    </row>
    <row r="218" spans="10:28" x14ac:dyDescent="0.25">
      <c r="J218" s="489">
        <v>2</v>
      </c>
      <c r="K218" s="431">
        <f>'Structural Information'!$U$10</f>
        <v>3</v>
      </c>
      <c r="L218" s="431">
        <f>L219+K218</f>
        <v>5.75</v>
      </c>
      <c r="M218" s="490">
        <f>'Yield Mechanism'!$X$61</f>
        <v>3.5882354553208335E-3</v>
      </c>
      <c r="N218" s="71">
        <f>M218-M219</f>
        <v>1.9245771380911512E-3</v>
      </c>
      <c r="O218" s="491">
        <f t="shared" si="146"/>
        <v>6.4152571269705035E-4</v>
      </c>
      <c r="P218" s="490">
        <f>$C$30</f>
        <v>6.7523273096129852E-3</v>
      </c>
      <c r="Q218" s="490">
        <f>$D$30</f>
        <v>1.7342707198796904E-3</v>
      </c>
      <c r="R218" s="70">
        <f>O218/P218</f>
        <v>9.5008088808689564E-2</v>
      </c>
      <c r="S218" s="70">
        <f t="shared" ref="S218:S219" si="151">O218/Q218</f>
        <v>0.36991094028362204</v>
      </c>
      <c r="T218" s="431">
        <f>_xlfn.IFS((O218&lt;='Infill Capacities'!$CW$18),(O218*'Infill Capacities'!$CR$18*'Infill Capacities'!$CQ$8),(AND((O218&gt;'Infill Capacities'!$CW$18),(O218&lt;='Infill Capacities'!$CX$18))),((O218-'Infill Capacities'!$CW$18)*'Infill Capacities'!$CQ$8*('Infill Capacities'!$CS$18)+'Infill Capacities'!$CM$18),(AND((O218&gt;'Infill Capacities'!$CX$18),(O218&lt;='Infill Capacities'!$CY$18))),((O218-'Infill Capacities'!$CX$18)*'Infill Capacities'!$CQ$8*('Infill Capacities'!$CT$18)+'Infill Capacities'!$CN$18),(AND((O218&gt;'Infill Capacities'!$CY$18),(O218&lt;='Infill Capacities'!$CZ$18))),((O218-'Infill Capacities'!$CY$18)*'Infill Capacities'!$CQ$8*('Infill Capacities'!$CU$18)+'Infill Capacities'!$CP$18))+_xlfn.IFS((O218&lt;='Frame Capacities'!$BO$18),(O218*'Frame Capacities'!$BH$8*'Frame Capacities'!$BI$18),(AND((O218&gt;'Frame Capacities'!$BO$18),(O218&lt;='Frame Capacities'!$BP$18))),((O218-'Frame Capacities'!$BO$18)*'Frame Capacities'!$BH$8*('Frame Capacities'!$BJ$18)+'Frame Capacities'!$BC$18),(AND((O218&gt;'Frame Capacities'!$BP$18),(O218&lt;='Frame Capacities'!$BQ$18))),((O218-'Frame Capacities'!$BP$18)*'Frame Capacities'!$BH$8*('Frame Capacities'!$BK$18)+'Frame Capacities'!$BD$18),(AND((O218&gt;'Frame Capacities'!$BQ$18),(O218&lt;='Frame Capacities'!$BR$18))),((O218-'Frame Capacities'!$BQ$18)*'Frame Capacities'!$BH$8*('Frame Capacities'!$BL$18)+'Frame Capacities'!$BE$18))</f>
        <v>95.136009639951936</v>
      </c>
      <c r="U218" s="431">
        <f>U217+T218*K218</f>
        <v>963.4252159181475</v>
      </c>
      <c r="V218" s="492"/>
      <c r="X218" s="69">
        <v>2</v>
      </c>
      <c r="Y218" s="70">
        <f>'Structural Information'!$Z$10</f>
        <v>40.367000000000004</v>
      </c>
      <c r="Z218" s="70">
        <f t="shared" si="147"/>
        <v>0.14484630062493611</v>
      </c>
      <c r="AA218" s="70">
        <f t="shared" si="148"/>
        <v>0.83286622859338266</v>
      </c>
      <c r="AB218" s="70">
        <f>(('Structural Information'!$Z$6*M214+'Structural Information'!$Z$7*M215+'Structural Information'!$Z$8*M216+'Structural Information'!$Z$9*M217+'Structural Information'!$Z$10*M218+'Structural Information'!$Z$11*M219)^2)/('Structural Information'!$Z$6*M214*M214+'Structural Information'!$Z$7*M215*M215+'Structural Information'!$Z$8*M216*M216+'Structural Information'!$Z$9*M217*M217+'Structural Information'!$Z$10*M218*M218+'Structural Information'!$Z$11*M219*M219)</f>
        <v>200.77844728267124</v>
      </c>
    </row>
    <row r="219" spans="10:28" x14ac:dyDescent="0.25">
      <c r="J219" s="489">
        <v>1</v>
      </c>
      <c r="K219" s="431">
        <f>'Structural Information'!$U$11</f>
        <v>2.75</v>
      </c>
      <c r="L219" s="431">
        <f>K219</f>
        <v>2.75</v>
      </c>
      <c r="M219" s="490">
        <f>'Yield Mechanism'!$X$62</f>
        <v>1.6636583172296823E-3</v>
      </c>
      <c r="N219" s="71">
        <f>M219</f>
        <v>1.6636583172296823E-3</v>
      </c>
      <c r="O219" s="491">
        <f t="shared" si="146"/>
        <v>6.0496666081079353E-4</v>
      </c>
      <c r="P219" s="490">
        <f>$C$31</f>
        <v>5.3120868684138484E-3</v>
      </c>
      <c r="Q219" s="490">
        <f>$D$31</f>
        <v>1.7606502644787157E-3</v>
      </c>
      <c r="R219" s="70">
        <f t="shared" ref="R219" si="152">O219/P219</f>
        <v>0.11388493369865246</v>
      </c>
      <c r="S219" s="70">
        <f t="shared" si="151"/>
        <v>0.34360410640094324</v>
      </c>
      <c r="T219" s="431">
        <f>_xlfn.IFS((O219&lt;='Infill Capacities'!$CW$19),(O219*'Infill Capacities'!$CR$19*'Infill Capacities'!$CQ$9),(AND((O219&gt;'Infill Capacities'!$CW$19),(O219&lt;='Infill Capacities'!$CX$19))),((O219-'Infill Capacities'!$CW$19)*'Infill Capacities'!$CQ$9*('Infill Capacities'!$CS$19)+'Infill Capacities'!$CM$19),(AND((O219&gt;'Infill Capacities'!$CX$19),(O219&lt;='Infill Capacities'!$CY$19))),((O219-'Infill Capacities'!$CX$19)*'Infill Capacities'!$CQ$9*('Infill Capacities'!$CT$19)+'Infill Capacities'!$CN$19),(AND((O219&gt;'Infill Capacities'!$CY$19),(O219&lt;='Infill Capacities'!$CZ$19))),((O219-'Infill Capacities'!$CY$19)*'Infill Capacities'!$CQ$9*('Infill Capacities'!$CU$19)+'Infill Capacities'!$CP$19))+_xlfn.IFS((O219&lt;='Frame Capacities'!$BO$19),(O219*'Frame Capacities'!$BH$9*'Frame Capacities'!$BI$19),(AND((O219&gt;'Frame Capacities'!$BO$19),(O219&lt;='Frame Capacities'!$BP$19))),((O219-'Frame Capacities'!$BO$19)*'Frame Capacities'!$BH$9*('Frame Capacities'!$BJ$19)+'Frame Capacities'!$BC$19),(AND((O219&gt;'Frame Capacities'!$BP$19),(O219&lt;='Frame Capacities'!$BQ$19))),((O219-'Frame Capacities'!$BP$19)*'Frame Capacities'!$BH$9*('Frame Capacities'!$BK$19)+'Frame Capacities'!$BD$19),(AND((O219&gt;'Frame Capacities'!$BQ$19),(O219&lt;='Frame Capacities'!$BR$19))),((O219-'Frame Capacities'!$BQ$19)*'Frame Capacities'!$BH$9*('Frame Capacities'!$BL$19)+'Frame Capacities'!$BE$19))</f>
        <v>99.99999227978364</v>
      </c>
      <c r="U219" s="431">
        <f>U218+T219*K219</f>
        <v>1238.4251946875524</v>
      </c>
      <c r="V219" s="495"/>
      <c r="X219" s="69">
        <v>1</v>
      </c>
      <c r="Y219" s="70">
        <f>'Structural Information'!$Z$11</f>
        <v>40.367000000000004</v>
      </c>
      <c r="Z219" s="70">
        <f t="shared" si="147"/>
        <v>6.7156895291610591E-2</v>
      </c>
      <c r="AA219" s="70">
        <f t="shared" si="148"/>
        <v>0.18468146205192912</v>
      </c>
      <c r="AB219" s="68" t="s">
        <v>382</v>
      </c>
    </row>
    <row r="220" spans="10:28" x14ac:dyDescent="0.25">
      <c r="X220" s="496"/>
      <c r="Y220" s="68" t="s">
        <v>95</v>
      </c>
      <c r="Z220" s="497">
        <f>SUM(Z214:Z219)</f>
        <v>1.3806947246626657</v>
      </c>
      <c r="AA220" s="497">
        <f>SUM(AA214:AA219)</f>
        <v>17.098871541857882</v>
      </c>
      <c r="AB220" s="430">
        <f>2*PI()*SQRT(AB218/AB216)</f>
        <v>0.83852635202767545</v>
      </c>
    </row>
    <row r="223" spans="10:28" x14ac:dyDescent="0.25">
      <c r="J223" s="970" t="s">
        <v>427</v>
      </c>
      <c r="K223" s="971"/>
      <c r="L223" s="971"/>
      <c r="M223" s="971"/>
      <c r="N223" s="971"/>
      <c r="O223" s="971"/>
      <c r="P223" s="971"/>
      <c r="Q223" s="972"/>
      <c r="R223" s="969" t="s">
        <v>426</v>
      </c>
      <c r="S223" s="487" t="s">
        <v>266</v>
      </c>
      <c r="T223" s="954" t="s">
        <v>245</v>
      </c>
    </row>
    <row r="224" spans="10:28" x14ac:dyDescent="0.25">
      <c r="J224" s="588" t="s">
        <v>9</v>
      </c>
      <c r="K224" s="588" t="s">
        <v>428</v>
      </c>
      <c r="L224" s="953" t="s">
        <v>429</v>
      </c>
      <c r="M224" s="588" t="s">
        <v>291</v>
      </c>
      <c r="N224" s="953" t="s">
        <v>292</v>
      </c>
      <c r="O224" s="588" t="s">
        <v>430</v>
      </c>
      <c r="P224" s="951" t="s">
        <v>265</v>
      </c>
      <c r="Q224" s="949" t="s">
        <v>264</v>
      </c>
      <c r="R224" s="969"/>
      <c r="S224" s="967" t="s">
        <v>264</v>
      </c>
      <c r="T224" s="955"/>
    </row>
    <row r="225" spans="10:20" x14ac:dyDescent="0.25">
      <c r="J225" s="588">
        <v>0</v>
      </c>
      <c r="K225" s="588">
        <v>0</v>
      </c>
      <c r="L225" s="953">
        <v>0</v>
      </c>
      <c r="M225" s="588">
        <v>0</v>
      </c>
      <c r="N225" s="953">
        <v>0</v>
      </c>
      <c r="O225" s="588">
        <v>0</v>
      </c>
      <c r="P225" s="952"/>
      <c r="Q225" s="950"/>
      <c r="R225" s="969"/>
      <c r="S225" s="967"/>
      <c r="T225" s="968"/>
    </row>
    <row r="226" spans="10:20" x14ac:dyDescent="0.25">
      <c r="J226" s="374">
        <v>6</v>
      </c>
      <c r="K226" s="435">
        <v>0.2857142857142857</v>
      </c>
      <c r="L226" s="435">
        <v>0.2857142857142857</v>
      </c>
      <c r="M226" s="374">
        <v>9.2424999999999886E-4</v>
      </c>
      <c r="N226" s="430">
        <v>28.169354285714292</v>
      </c>
      <c r="O226" s="528">
        <f t="shared" ref="O226:O231" si="153">N226/M226</f>
        <v>30478.067931527537</v>
      </c>
      <c r="P226" s="430">
        <v>3705.0091458580678</v>
      </c>
      <c r="Q226" s="529">
        <f t="shared" ref="Q226:Q230" si="154">O226-P226</f>
        <v>26773.058785669469</v>
      </c>
      <c r="R226" s="70">
        <v>7645.3055715294167</v>
      </c>
      <c r="S226" s="530">
        <f>'System Capacities'!J19</f>
        <v>32231.583564149721</v>
      </c>
      <c r="T226" s="531">
        <f>(Q226-S226)/Q226</f>
        <v>-0.20388125324708803</v>
      </c>
    </row>
    <row r="227" spans="10:20" x14ac:dyDescent="0.25">
      <c r="J227" s="374">
        <v>5</v>
      </c>
      <c r="K227" s="435">
        <v>0.23809523809523808</v>
      </c>
      <c r="L227" s="435">
        <v>0.52380952380952372</v>
      </c>
      <c r="M227" s="374">
        <v>1.4321900000000016E-3</v>
      </c>
      <c r="N227" s="430">
        <v>51.643816190476194</v>
      </c>
      <c r="O227" s="528">
        <f t="shared" si="153"/>
        <v>36059.333042736049</v>
      </c>
      <c r="P227" s="430">
        <v>3860.9974288689132</v>
      </c>
      <c r="Q227" s="529">
        <f t="shared" si="154"/>
        <v>32198.335613867137</v>
      </c>
      <c r="R227" s="70">
        <v>11879.94598367702</v>
      </c>
      <c r="S227" s="530">
        <f>'System Capacities'!J20</f>
        <v>37512.847967601992</v>
      </c>
      <c r="T227" s="531">
        <f t="shared" ref="T227:T231" si="155">(Q227-S227)/Q227</f>
        <v>-0.16505549906269093</v>
      </c>
    </row>
    <row r="228" spans="10:20" x14ac:dyDescent="0.25">
      <c r="J228" s="374">
        <v>4</v>
      </c>
      <c r="K228" s="435">
        <v>0.19047619047619047</v>
      </c>
      <c r="L228" s="435">
        <v>0.71428571428571419</v>
      </c>
      <c r="M228" s="374">
        <v>1.8610400000000004E-3</v>
      </c>
      <c r="N228" s="430">
        <v>70.423385714285715</v>
      </c>
      <c r="O228" s="528">
        <f t="shared" si="153"/>
        <v>37840.876990438519</v>
      </c>
      <c r="P228" s="430">
        <v>4018.1887879425876</v>
      </c>
      <c r="Q228" s="529">
        <f t="shared" si="154"/>
        <v>33822.688202495934</v>
      </c>
      <c r="R228" s="70">
        <v>14466.510891244869</v>
      </c>
      <c r="S228" s="530">
        <f>'System Capacities'!J21</f>
        <v>38958.01409226143</v>
      </c>
      <c r="T228" s="531">
        <f t="shared" si="155"/>
        <v>-0.15183080241938121</v>
      </c>
    </row>
    <row r="229" spans="10:20" x14ac:dyDescent="0.25">
      <c r="J229" s="374">
        <v>3</v>
      </c>
      <c r="K229" s="435">
        <v>0.14285714285714285</v>
      </c>
      <c r="L229" s="435">
        <v>0.85714285714285698</v>
      </c>
      <c r="M229" s="374">
        <v>1.9972099999999993E-3</v>
      </c>
      <c r="N229" s="430">
        <v>84.50806285714286</v>
      </c>
      <c r="O229" s="528">
        <f t="shared" si="153"/>
        <v>42313.05814468328</v>
      </c>
      <c r="P229" s="430">
        <v>5304.8611101498182</v>
      </c>
      <c r="Q229" s="529">
        <f t="shared" si="154"/>
        <v>37008.197034533463</v>
      </c>
      <c r="R229" s="70">
        <v>18700.268787204248</v>
      </c>
      <c r="S229" s="530">
        <f>'System Capacities'!J22</f>
        <v>40081.108862554094</v>
      </c>
      <c r="T229" s="531">
        <f t="shared" si="155"/>
        <v>-8.303327571330224E-2</v>
      </c>
    </row>
    <row r="230" spans="10:20" x14ac:dyDescent="0.25">
      <c r="J230" s="374">
        <v>2</v>
      </c>
      <c r="K230" s="435">
        <v>9.5238095238095233E-2</v>
      </c>
      <c r="L230" s="435">
        <v>0.95238095238095222</v>
      </c>
      <c r="M230" s="374">
        <v>2.1962100000000005E-3</v>
      </c>
      <c r="N230" s="430">
        <v>93.897847619047624</v>
      </c>
      <c r="O230" s="528">
        <f t="shared" si="153"/>
        <v>42754.494159960843</v>
      </c>
      <c r="P230" s="430">
        <v>5674.1407270611107</v>
      </c>
      <c r="Q230" s="529">
        <f t="shared" si="154"/>
        <v>37080.353432899734</v>
      </c>
      <c r="R230" s="70">
        <v>22196.88197302751</v>
      </c>
      <c r="S230" s="530">
        <f>'System Capacities'!J23</f>
        <v>41405.300324150929</v>
      </c>
      <c r="T230" s="531">
        <f t="shared" si="155"/>
        <v>-0.11663715393321639</v>
      </c>
    </row>
    <row r="231" spans="10:20" x14ac:dyDescent="0.25">
      <c r="J231" s="374">
        <v>1</v>
      </c>
      <c r="K231" s="435">
        <v>4.7619047619047616E-2</v>
      </c>
      <c r="L231" s="435">
        <v>0.99999999999999978</v>
      </c>
      <c r="M231" s="374">
        <v>1.5925999999999998E-3</v>
      </c>
      <c r="N231" s="430">
        <v>98.592739999999992</v>
      </c>
      <c r="O231" s="528">
        <f t="shared" si="153"/>
        <v>61906.781363807611</v>
      </c>
      <c r="P231" s="430">
        <v>14467.52811381129</v>
      </c>
      <c r="Q231" s="529">
        <f>O231-P231</f>
        <v>47439.25324999632</v>
      </c>
      <c r="R231" s="70">
        <v>33505.258554760039</v>
      </c>
      <c r="S231" s="530">
        <f>'System Capacities'!J24</f>
        <v>43184.044857716923</v>
      </c>
      <c r="T231" s="532">
        <f t="shared" si="155"/>
        <v>8.9698047518902022E-2</v>
      </c>
    </row>
    <row r="232" spans="10:20" x14ac:dyDescent="0.25">
      <c r="J232" s="533"/>
      <c r="K232" s="454"/>
      <c r="L232" s="454"/>
      <c r="M232" s="454"/>
      <c r="N232" s="454"/>
      <c r="O232" s="454"/>
      <c r="P232" s="40"/>
      <c r="Q232" s="40"/>
      <c r="R232" s="40"/>
      <c r="S232" s="40"/>
      <c r="T232" s="534"/>
    </row>
    <row r="233" spans="10:20" x14ac:dyDescent="0.25">
      <c r="J233" s="947" t="s">
        <v>431</v>
      </c>
      <c r="K233" s="947">
        <v>0</v>
      </c>
      <c r="L233" s="947">
        <v>0</v>
      </c>
      <c r="M233" s="374">
        <f>SUM(M226:M231)</f>
        <v>1.00035E-2</v>
      </c>
      <c r="N233" s="430">
        <f>N231</f>
        <v>98.592739999999992</v>
      </c>
      <c r="O233" s="528">
        <f>N233/M233</f>
        <v>9855.8244614384948</v>
      </c>
      <c r="P233" s="535"/>
      <c r="Q233" s="535"/>
      <c r="R233" s="535"/>
      <c r="S233" s="535"/>
      <c r="T233" s="536"/>
    </row>
    <row r="234" spans="10:20" x14ac:dyDescent="0.25">
      <c r="J234" s="537"/>
      <c r="K234" s="40"/>
      <c r="L234" s="40"/>
      <c r="M234" s="40"/>
      <c r="N234" s="40"/>
      <c r="O234" s="40"/>
      <c r="P234" s="40"/>
      <c r="Q234" s="40"/>
      <c r="R234" s="40"/>
      <c r="S234" s="40"/>
      <c r="T234" s="534"/>
    </row>
    <row r="235" spans="10:20" x14ac:dyDescent="0.25">
      <c r="J235" s="537"/>
      <c r="K235" s="40"/>
      <c r="L235" s="948" t="s">
        <v>291</v>
      </c>
      <c r="M235" s="951" t="s">
        <v>292</v>
      </c>
      <c r="N235" s="588" t="s">
        <v>293</v>
      </c>
      <c r="O235" s="949" t="s">
        <v>264</v>
      </c>
      <c r="P235" s="954" t="s">
        <v>245</v>
      </c>
      <c r="Q235" s="588" t="s">
        <v>291</v>
      </c>
      <c r="R235" s="953" t="s">
        <v>292</v>
      </c>
      <c r="S235" s="588" t="s">
        <v>294</v>
      </c>
      <c r="T235" s="954" t="s">
        <v>245</v>
      </c>
    </row>
    <row r="236" spans="10:20" x14ac:dyDescent="0.25">
      <c r="J236" s="537"/>
      <c r="K236" s="40"/>
      <c r="L236" s="587"/>
      <c r="M236" s="952"/>
      <c r="N236" s="588"/>
      <c r="O236" s="950"/>
      <c r="P236" s="955"/>
      <c r="Q236" s="588"/>
      <c r="R236" s="953"/>
      <c r="S236" s="588"/>
      <c r="T236" s="955"/>
    </row>
    <row r="237" spans="10:20" x14ac:dyDescent="0.25">
      <c r="J237" s="537"/>
      <c r="K237" s="40"/>
      <c r="L237" s="374">
        <v>4.8060000000000463E-4</v>
      </c>
      <c r="M237" s="430">
        <v>15.516857142857134</v>
      </c>
      <c r="N237" s="528">
        <v>32286.427679685778</v>
      </c>
      <c r="O237" s="529">
        <f>N237-P226</f>
        <v>28581.418533827709</v>
      </c>
      <c r="P237" s="531">
        <f>(O237-S226)/O237</f>
        <v>-0.1277111220355224</v>
      </c>
      <c r="Q237" s="374">
        <v>-5.92200000000008E-4</v>
      </c>
      <c r="R237" s="430">
        <v>-25.585599999999999</v>
      </c>
      <c r="S237" s="528">
        <v>43204.322863896748</v>
      </c>
      <c r="T237" s="531">
        <f t="shared" ref="T237:T242" si="156">(S226-S237)/S226</f>
        <v>-0.34043438411607224</v>
      </c>
    </row>
    <row r="238" spans="10:20" x14ac:dyDescent="0.25">
      <c r="J238" s="537"/>
      <c r="K238" s="40"/>
      <c r="L238" s="374">
        <v>8.3019999999999969E-4</v>
      </c>
      <c r="M238" s="430">
        <v>28.447571428571408</v>
      </c>
      <c r="N238" s="528">
        <v>34265.925594521104</v>
      </c>
      <c r="O238" s="529">
        <f t="shared" ref="O238:O242" si="157">N238-P227</f>
        <v>30404.928165652193</v>
      </c>
      <c r="P238" s="531">
        <f t="shared" ref="P238:P242" si="158">(O238-S227)/O238</f>
        <v>-0.23377525390701193</v>
      </c>
      <c r="Q238" s="374">
        <v>-9.9079999999999308E-4</v>
      </c>
      <c r="R238" s="430">
        <v>-46.906933333333328</v>
      </c>
      <c r="S238" s="528">
        <v>47342.484187861985</v>
      </c>
      <c r="T238" s="531">
        <f t="shared" si="156"/>
        <v>-0.26203385647363714</v>
      </c>
    </row>
    <row r="239" spans="10:20" x14ac:dyDescent="0.25">
      <c r="J239" s="537"/>
      <c r="K239" s="40"/>
      <c r="L239" s="374">
        <v>3.3811999999999974E-3</v>
      </c>
      <c r="M239" s="430">
        <v>38.792142857142828</v>
      </c>
      <c r="N239" s="528">
        <v>11472.892126210474</v>
      </c>
      <c r="O239" s="529">
        <f>N239-P228</f>
        <v>7454.7033382678865</v>
      </c>
      <c r="P239" s="531">
        <f>(O239-S228)/O239</f>
        <v>-4.2259643777204143</v>
      </c>
      <c r="Q239" s="374">
        <v>-1.6271000000000063E-3</v>
      </c>
      <c r="R239" s="430">
        <v>-63.963999999999992</v>
      </c>
      <c r="S239" s="528">
        <v>39311.658779423356</v>
      </c>
      <c r="T239" s="531">
        <f t="shared" si="156"/>
        <v>-9.0775850720833835E-3</v>
      </c>
    </row>
    <row r="240" spans="10:20" x14ac:dyDescent="0.25">
      <c r="J240" s="537"/>
      <c r="K240" s="40"/>
      <c r="L240" s="374">
        <v>4.0860999999999988E-3</v>
      </c>
      <c r="M240" s="430">
        <v>46.550571428571395</v>
      </c>
      <c r="N240" s="528">
        <v>11392.420995220726</v>
      </c>
      <c r="O240" s="529">
        <f t="shared" si="157"/>
        <v>6087.5598850709075</v>
      </c>
      <c r="P240" s="531">
        <f t="shared" si="158"/>
        <v>-5.5841009565834003</v>
      </c>
      <c r="Q240" s="374">
        <v>-1.3024999999999981E-3</v>
      </c>
      <c r="R240" s="430">
        <v>-76.756799999999984</v>
      </c>
      <c r="S240" s="528">
        <v>58930.364683301414</v>
      </c>
      <c r="T240" s="531">
        <f t="shared" si="156"/>
        <v>-0.47027780307638389</v>
      </c>
    </row>
    <row r="241" spans="10:20" x14ac:dyDescent="0.25">
      <c r="J241" s="537"/>
      <c r="K241" s="40"/>
      <c r="L241" s="374">
        <v>5.7508500000000001E-3</v>
      </c>
      <c r="M241" s="430">
        <v>51.722857142857102</v>
      </c>
      <c r="N241" s="528">
        <v>8993.9499626763172</v>
      </c>
      <c r="O241" s="529">
        <f t="shared" si="157"/>
        <v>3319.8092356152065</v>
      </c>
      <c r="P241" s="531">
        <f t="shared" si="158"/>
        <v>-11.472192642863696</v>
      </c>
      <c r="Q241" s="374">
        <v>2.0582000000000003E-2</v>
      </c>
      <c r="R241" s="430">
        <v>-85.285333333333313</v>
      </c>
      <c r="S241" s="528">
        <v>-4143.6854209179528</v>
      </c>
      <c r="T241" s="531">
        <f t="shared" si="156"/>
        <v>1.1000762073569845</v>
      </c>
    </row>
    <row r="242" spans="10:20" x14ac:dyDescent="0.25">
      <c r="J242" s="537"/>
      <c r="K242" s="40"/>
      <c r="L242" s="374">
        <v>2.6744500000000001E-3</v>
      </c>
      <c r="M242" s="430">
        <v>54.308999999999955</v>
      </c>
      <c r="N242" s="528">
        <v>20306.605096374937</v>
      </c>
      <c r="O242" s="529">
        <f t="shared" si="157"/>
        <v>5839.0769825636471</v>
      </c>
      <c r="P242" s="531">
        <f t="shared" si="158"/>
        <v>-6.3956971258763859</v>
      </c>
      <c r="Q242" s="374">
        <v>-8.7070000000000029E-4</v>
      </c>
      <c r="R242" s="430">
        <v>-89.549599999999984</v>
      </c>
      <c r="S242" s="528">
        <v>102847.82359021471</v>
      </c>
      <c r="T242" s="531">
        <f t="shared" si="156"/>
        <v>-1.3816162642725665</v>
      </c>
    </row>
    <row r="243" spans="10:20" x14ac:dyDescent="0.25">
      <c r="J243" s="537"/>
      <c r="K243" s="40"/>
      <c r="L243" s="40"/>
      <c r="M243" s="537"/>
      <c r="N243" s="40"/>
      <c r="O243" s="40"/>
      <c r="P243" s="40"/>
      <c r="Q243" s="40"/>
      <c r="R243" s="40"/>
      <c r="S243" s="40"/>
      <c r="T243" s="534"/>
    </row>
    <row r="244" spans="10:20" x14ac:dyDescent="0.25">
      <c r="J244" s="947" t="str">
        <f>J233</f>
        <v>Structure Stiffness (kN/m)</v>
      </c>
      <c r="K244" s="947">
        <v>0</v>
      </c>
      <c r="L244" s="947">
        <v>0</v>
      </c>
      <c r="M244" s="374">
        <f>SUM(L237:L242)</f>
        <v>1.7203400000000001E-2</v>
      </c>
      <c r="N244" s="430">
        <f>M242</f>
        <v>54.308999999999955</v>
      </c>
      <c r="O244" s="528">
        <f>N244/M244</f>
        <v>3156.8759663787364</v>
      </c>
      <c r="P244" s="535"/>
      <c r="Q244" s="374">
        <f>SUM(Q237:Q242)</f>
        <v>1.5198699999999997E-2</v>
      </c>
      <c r="R244" s="356">
        <f>R242</f>
        <v>-89.549599999999984</v>
      </c>
      <c r="S244" s="528">
        <f>R244/Q244</f>
        <v>-5891.9249672669375</v>
      </c>
      <c r="T244" s="536"/>
    </row>
  </sheetData>
  <mergeCells count="458">
    <mergeCell ref="T223:T225"/>
    <mergeCell ref="P224:P225"/>
    <mergeCell ref="Q224:Q225"/>
    <mergeCell ref="R223:R225"/>
    <mergeCell ref="J224:J225"/>
    <mergeCell ref="K224:K225"/>
    <mergeCell ref="L224:L225"/>
    <mergeCell ref="M224:M225"/>
    <mergeCell ref="N224:N225"/>
    <mergeCell ref="O224:O225"/>
    <mergeCell ref="J223:Q223"/>
    <mergeCell ref="B134:H134"/>
    <mergeCell ref="S224:S225"/>
    <mergeCell ref="J233:L233"/>
    <mergeCell ref="B124:B125"/>
    <mergeCell ref="C124:C125"/>
    <mergeCell ref="B135:B136"/>
    <mergeCell ref="C135:C136"/>
    <mergeCell ref="D135:D136"/>
    <mergeCell ref="E135:E136"/>
    <mergeCell ref="F135:F136"/>
    <mergeCell ref="G135:G136"/>
    <mergeCell ref="H135:H136"/>
    <mergeCell ref="C186:C187"/>
    <mergeCell ref="J68:V68"/>
    <mergeCell ref="X68:AB68"/>
    <mergeCell ref="J69:J70"/>
    <mergeCell ref="K69:K70"/>
    <mergeCell ref="L69:L70"/>
    <mergeCell ref="M69:M70"/>
    <mergeCell ref="N69:N70"/>
    <mergeCell ref="O69:O70"/>
    <mergeCell ref="P69:P70"/>
    <mergeCell ref="Q69:Q70"/>
    <mergeCell ref="AB69:AB70"/>
    <mergeCell ref="X69:X70"/>
    <mergeCell ref="Y69:Y70"/>
    <mergeCell ref="Z69:Z70"/>
    <mergeCell ref="AA69:AA70"/>
    <mergeCell ref="X57:AB57"/>
    <mergeCell ref="X58:X59"/>
    <mergeCell ref="Y58:Y59"/>
    <mergeCell ref="Z58:Z59"/>
    <mergeCell ref="AA58:AA59"/>
    <mergeCell ref="AB58:AB59"/>
    <mergeCell ref="X46:AB46"/>
    <mergeCell ref="X47:X48"/>
    <mergeCell ref="Y47:Y48"/>
    <mergeCell ref="Z47:Z48"/>
    <mergeCell ref="AA47:AA48"/>
    <mergeCell ref="AB47:AB48"/>
    <mergeCell ref="X35:AB35"/>
    <mergeCell ref="X36:X37"/>
    <mergeCell ref="Y36:Y37"/>
    <mergeCell ref="Z36:Z37"/>
    <mergeCell ref="AA36:AA37"/>
    <mergeCell ref="AB36:AB37"/>
    <mergeCell ref="X13:AB13"/>
    <mergeCell ref="X14:X15"/>
    <mergeCell ref="Y14:Y15"/>
    <mergeCell ref="Z14:Z15"/>
    <mergeCell ref="AA14:AA15"/>
    <mergeCell ref="AB14:AB15"/>
    <mergeCell ref="X24:AB24"/>
    <mergeCell ref="X25:X26"/>
    <mergeCell ref="AB25:AB26"/>
    <mergeCell ref="U47:U48"/>
    <mergeCell ref="V47:V48"/>
    <mergeCell ref="J47:J48"/>
    <mergeCell ref="K47:K48"/>
    <mergeCell ref="L47:L48"/>
    <mergeCell ref="M47:M48"/>
    <mergeCell ref="N47:N48"/>
    <mergeCell ref="O47:O48"/>
    <mergeCell ref="U58:U59"/>
    <mergeCell ref="V58:V59"/>
    <mergeCell ref="J57:V57"/>
    <mergeCell ref="J58:J59"/>
    <mergeCell ref="K58:K59"/>
    <mergeCell ref="L58:L59"/>
    <mergeCell ref="M58:M59"/>
    <mergeCell ref="N58:N59"/>
    <mergeCell ref="O58:O59"/>
    <mergeCell ref="P58:P59"/>
    <mergeCell ref="L36:L37"/>
    <mergeCell ref="M36:M37"/>
    <mergeCell ref="N36:N37"/>
    <mergeCell ref="O36:O37"/>
    <mergeCell ref="P36:P37"/>
    <mergeCell ref="R58:R59"/>
    <mergeCell ref="T58:T59"/>
    <mergeCell ref="P47:P48"/>
    <mergeCell ref="R47:R48"/>
    <mergeCell ref="T47:T48"/>
    <mergeCell ref="X2:AB2"/>
    <mergeCell ref="J2:V2"/>
    <mergeCell ref="J13:V13"/>
    <mergeCell ref="R14:R15"/>
    <mergeCell ref="J24:V24"/>
    <mergeCell ref="J25:J26"/>
    <mergeCell ref="K25:K26"/>
    <mergeCell ref="K3:K4"/>
    <mergeCell ref="N3:N4"/>
    <mergeCell ref="L3:L4"/>
    <mergeCell ref="X3:X4"/>
    <mergeCell ref="L25:L26"/>
    <mergeCell ref="M25:M26"/>
    <mergeCell ref="N25:N26"/>
    <mergeCell ref="O25:O26"/>
    <mergeCell ref="O14:O15"/>
    <mergeCell ref="P14:P15"/>
    <mergeCell ref="T14:T15"/>
    <mergeCell ref="U14:U15"/>
    <mergeCell ref="V14:V15"/>
    <mergeCell ref="AB3:AB4"/>
    <mergeCell ref="V3:V4"/>
    <mergeCell ref="J14:J15"/>
    <mergeCell ref="K14:K15"/>
    <mergeCell ref="AA3:AA4"/>
    <mergeCell ref="P25:P26"/>
    <mergeCell ref="R25:R26"/>
    <mergeCell ref="T25:T26"/>
    <mergeCell ref="U25:U26"/>
    <mergeCell ref="M3:M4"/>
    <mergeCell ref="Y25:Y26"/>
    <mergeCell ref="Z25:Z26"/>
    <mergeCell ref="AA25:AA26"/>
    <mergeCell ref="V25:V26"/>
    <mergeCell ref="Y3:Y4"/>
    <mergeCell ref="Z3:Z4"/>
    <mergeCell ref="R3:R4"/>
    <mergeCell ref="T3:T4"/>
    <mergeCell ref="L14:L15"/>
    <mergeCell ref="M14:M15"/>
    <mergeCell ref="N14:N15"/>
    <mergeCell ref="J35:V35"/>
    <mergeCell ref="U3:U4"/>
    <mergeCell ref="B35:D35"/>
    <mergeCell ref="B2:H2"/>
    <mergeCell ref="B13:H13"/>
    <mergeCell ref="B14:B15"/>
    <mergeCell ref="C14:D14"/>
    <mergeCell ref="E14:E15"/>
    <mergeCell ref="F14:F15"/>
    <mergeCell ref="G14:H15"/>
    <mergeCell ref="B3:B4"/>
    <mergeCell ref="E3:E4"/>
    <mergeCell ref="F3:F4"/>
    <mergeCell ref="C3:D3"/>
    <mergeCell ref="G3:H4"/>
    <mergeCell ref="B24:H24"/>
    <mergeCell ref="E35:G35"/>
    <mergeCell ref="T235:T236"/>
    <mergeCell ref="F186:F187"/>
    <mergeCell ref="S3:S4"/>
    <mergeCell ref="Q3:Q4"/>
    <mergeCell ref="Q14:Q15"/>
    <mergeCell ref="S14:S15"/>
    <mergeCell ref="Q25:Q26"/>
    <mergeCell ref="S25:S26"/>
    <mergeCell ref="Q36:Q37"/>
    <mergeCell ref="S36:S37"/>
    <mergeCell ref="Q47:Q48"/>
    <mergeCell ref="S47:S48"/>
    <mergeCell ref="Q58:Q59"/>
    <mergeCell ref="S58:S59"/>
    <mergeCell ref="R36:R37"/>
    <mergeCell ref="T36:T37"/>
    <mergeCell ref="J167:V167"/>
    <mergeCell ref="J178:V178"/>
    <mergeCell ref="J189:V189"/>
    <mergeCell ref="J200:V200"/>
    <mergeCell ref="J211:V211"/>
    <mergeCell ref="J3:J4"/>
    <mergeCell ref="O3:O4"/>
    <mergeCell ref="P3:P4"/>
    <mergeCell ref="U36:U37"/>
    <mergeCell ref="V36:V37"/>
    <mergeCell ref="J46:V46"/>
    <mergeCell ref="J36:J37"/>
    <mergeCell ref="K36:K37"/>
    <mergeCell ref="J244:L244"/>
    <mergeCell ref="L235:L236"/>
    <mergeCell ref="O235:O236"/>
    <mergeCell ref="M235:M236"/>
    <mergeCell ref="N235:N236"/>
    <mergeCell ref="Q235:Q236"/>
    <mergeCell ref="R235:R236"/>
    <mergeCell ref="S235:S236"/>
    <mergeCell ref="P235:P236"/>
    <mergeCell ref="J79:V79"/>
    <mergeCell ref="R69:R70"/>
    <mergeCell ref="S69:S70"/>
    <mergeCell ref="T69:T70"/>
    <mergeCell ref="U69:U70"/>
    <mergeCell ref="V69:V70"/>
    <mergeCell ref="J90:V90"/>
    <mergeCell ref="J134:V134"/>
    <mergeCell ref="J145:V145"/>
    <mergeCell ref="J156:V156"/>
    <mergeCell ref="X79:AB79"/>
    <mergeCell ref="J80:J81"/>
    <mergeCell ref="K80:K81"/>
    <mergeCell ref="L80:L81"/>
    <mergeCell ref="M80:M81"/>
    <mergeCell ref="N80:N81"/>
    <mergeCell ref="O80:O81"/>
    <mergeCell ref="P80:P81"/>
    <mergeCell ref="Q80:Q81"/>
    <mergeCell ref="R80:R81"/>
    <mergeCell ref="S80:S81"/>
    <mergeCell ref="T80:T81"/>
    <mergeCell ref="U80:U81"/>
    <mergeCell ref="V80:V81"/>
    <mergeCell ref="X80:X81"/>
    <mergeCell ref="Y80:Y81"/>
    <mergeCell ref="Z80:Z81"/>
    <mergeCell ref="AA80:AA81"/>
    <mergeCell ref="AB80:AB81"/>
    <mergeCell ref="X90:AB90"/>
    <mergeCell ref="J91:J92"/>
    <mergeCell ref="K91:K92"/>
    <mergeCell ref="L91:L92"/>
    <mergeCell ref="M91:M92"/>
    <mergeCell ref="N91:N92"/>
    <mergeCell ref="O91:O92"/>
    <mergeCell ref="P91:P92"/>
    <mergeCell ref="Q91:Q92"/>
    <mergeCell ref="R91:R92"/>
    <mergeCell ref="Y102:Y103"/>
    <mergeCell ref="Z102:Z103"/>
    <mergeCell ref="AA102:AA103"/>
    <mergeCell ref="AB102:AB103"/>
    <mergeCell ref="S91:S92"/>
    <mergeCell ref="T91:T92"/>
    <mergeCell ref="U91:U92"/>
    <mergeCell ref="V91:V92"/>
    <mergeCell ref="X91:X92"/>
    <mergeCell ref="Y91:Y92"/>
    <mergeCell ref="Z91:Z92"/>
    <mergeCell ref="AA91:AA92"/>
    <mergeCell ref="AB91:AB92"/>
    <mergeCell ref="X101:AB101"/>
    <mergeCell ref="X102:X103"/>
    <mergeCell ref="E41:E42"/>
    <mergeCell ref="F41:F42"/>
    <mergeCell ref="G41:G42"/>
    <mergeCell ref="C185:F185"/>
    <mergeCell ref="D186:D187"/>
    <mergeCell ref="E186:E187"/>
    <mergeCell ref="B123:H123"/>
    <mergeCell ref="D124:H124"/>
    <mergeCell ref="J101:V101"/>
    <mergeCell ref="J102:J103"/>
    <mergeCell ref="K102:K103"/>
    <mergeCell ref="L102:L103"/>
    <mergeCell ref="M102:M103"/>
    <mergeCell ref="N102:N103"/>
    <mergeCell ref="O102:O103"/>
    <mergeCell ref="P102:P103"/>
    <mergeCell ref="Q102:Q103"/>
    <mergeCell ref="R102:R103"/>
    <mergeCell ref="S102:S103"/>
    <mergeCell ref="T102:T103"/>
    <mergeCell ref="U102:U103"/>
    <mergeCell ref="V102:V103"/>
    <mergeCell ref="J112:V112"/>
    <mergeCell ref="J123:V123"/>
    <mergeCell ref="X112:AB112"/>
    <mergeCell ref="J113:J114"/>
    <mergeCell ref="K113:K114"/>
    <mergeCell ref="L113:L114"/>
    <mergeCell ref="M113:M114"/>
    <mergeCell ref="N113:N114"/>
    <mergeCell ref="O113:O114"/>
    <mergeCell ref="P113:P114"/>
    <mergeCell ref="Q113:Q114"/>
    <mergeCell ref="R113:R114"/>
    <mergeCell ref="S113:S114"/>
    <mergeCell ref="T113:T114"/>
    <mergeCell ref="U113:U114"/>
    <mergeCell ref="V113:V114"/>
    <mergeCell ref="X113:X114"/>
    <mergeCell ref="Y113:Y114"/>
    <mergeCell ref="Z113:Z114"/>
    <mergeCell ref="AA113:AA114"/>
    <mergeCell ref="AB113:AB114"/>
    <mergeCell ref="X123:AB123"/>
    <mergeCell ref="J124:J125"/>
    <mergeCell ref="K124:K125"/>
    <mergeCell ref="L124:L125"/>
    <mergeCell ref="M124:M125"/>
    <mergeCell ref="N124:N125"/>
    <mergeCell ref="O124:O125"/>
    <mergeCell ref="P124:P125"/>
    <mergeCell ref="Q124:Q125"/>
    <mergeCell ref="R124:R125"/>
    <mergeCell ref="S124:S125"/>
    <mergeCell ref="T124:T125"/>
    <mergeCell ref="U124:U125"/>
    <mergeCell ref="V124:V125"/>
    <mergeCell ref="X124:X125"/>
    <mergeCell ref="Y124:Y125"/>
    <mergeCell ref="Z124:Z125"/>
    <mergeCell ref="AA124:AA125"/>
    <mergeCell ref="AB124:AB125"/>
    <mergeCell ref="X134:AB134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S135:S136"/>
    <mergeCell ref="T135:T136"/>
    <mergeCell ref="U135:U136"/>
    <mergeCell ref="V135:V136"/>
    <mergeCell ref="X135:X136"/>
    <mergeCell ref="Y135:Y136"/>
    <mergeCell ref="Z135:Z136"/>
    <mergeCell ref="AA135:AA136"/>
    <mergeCell ref="AB135:AB136"/>
    <mergeCell ref="X145:AB145"/>
    <mergeCell ref="J146:J147"/>
    <mergeCell ref="K146:K147"/>
    <mergeCell ref="L146:L147"/>
    <mergeCell ref="M146:M147"/>
    <mergeCell ref="N146:N147"/>
    <mergeCell ref="O146:O147"/>
    <mergeCell ref="P146:P147"/>
    <mergeCell ref="Q146:Q147"/>
    <mergeCell ref="R146:R147"/>
    <mergeCell ref="S146:S147"/>
    <mergeCell ref="T146:T147"/>
    <mergeCell ref="U146:U147"/>
    <mergeCell ref="V146:V147"/>
    <mergeCell ref="X146:X147"/>
    <mergeCell ref="Y146:Y147"/>
    <mergeCell ref="Z146:Z147"/>
    <mergeCell ref="AA146:AA147"/>
    <mergeCell ref="AB146:AB147"/>
    <mergeCell ref="X156:AB156"/>
    <mergeCell ref="J157:J158"/>
    <mergeCell ref="K157:K158"/>
    <mergeCell ref="L157:L158"/>
    <mergeCell ref="M157:M158"/>
    <mergeCell ref="N157:N158"/>
    <mergeCell ref="O157:O158"/>
    <mergeCell ref="P157:P158"/>
    <mergeCell ref="Q157:Q158"/>
    <mergeCell ref="R157:R158"/>
    <mergeCell ref="S157:S158"/>
    <mergeCell ref="T157:T158"/>
    <mergeCell ref="U157:U158"/>
    <mergeCell ref="V157:V158"/>
    <mergeCell ref="X157:X158"/>
    <mergeCell ref="Y157:Y158"/>
    <mergeCell ref="Z157:Z158"/>
    <mergeCell ref="AA157:AA158"/>
    <mergeCell ref="AB157:AB158"/>
    <mergeCell ref="X167:AB167"/>
    <mergeCell ref="J168:J169"/>
    <mergeCell ref="K168:K169"/>
    <mergeCell ref="L168:L169"/>
    <mergeCell ref="M168:M169"/>
    <mergeCell ref="N168:N169"/>
    <mergeCell ref="O168:O169"/>
    <mergeCell ref="P168:P169"/>
    <mergeCell ref="Q168:Q169"/>
    <mergeCell ref="R168:R169"/>
    <mergeCell ref="S168:S169"/>
    <mergeCell ref="T168:T169"/>
    <mergeCell ref="U168:U169"/>
    <mergeCell ref="V168:V169"/>
    <mergeCell ref="X168:X169"/>
    <mergeCell ref="Y168:Y169"/>
    <mergeCell ref="Z168:Z169"/>
    <mergeCell ref="AA168:AA169"/>
    <mergeCell ref="AB168:AB169"/>
    <mergeCell ref="X178:AB178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S179:S180"/>
    <mergeCell ref="T179:T180"/>
    <mergeCell ref="U179:U180"/>
    <mergeCell ref="V179:V180"/>
    <mergeCell ref="X179:X180"/>
    <mergeCell ref="Y179:Y180"/>
    <mergeCell ref="Z179:Z180"/>
    <mergeCell ref="AA179:AA180"/>
    <mergeCell ref="AB179:AB180"/>
    <mergeCell ref="X189:AB189"/>
    <mergeCell ref="J190:J191"/>
    <mergeCell ref="K190:K191"/>
    <mergeCell ref="L190:L191"/>
    <mergeCell ref="M190:M191"/>
    <mergeCell ref="N190:N191"/>
    <mergeCell ref="O190:O191"/>
    <mergeCell ref="P190:P191"/>
    <mergeCell ref="Q190:Q191"/>
    <mergeCell ref="R190:R191"/>
    <mergeCell ref="S190:S191"/>
    <mergeCell ref="T190:T191"/>
    <mergeCell ref="U190:U191"/>
    <mergeCell ref="V190:V191"/>
    <mergeCell ref="X190:X191"/>
    <mergeCell ref="Y190:Y191"/>
    <mergeCell ref="Z190:Z191"/>
    <mergeCell ref="AA190:AA191"/>
    <mergeCell ref="AB190:AB191"/>
    <mergeCell ref="X200:AB200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S201:S202"/>
    <mergeCell ref="T201:T202"/>
    <mergeCell ref="U201:U202"/>
    <mergeCell ref="V201:V202"/>
    <mergeCell ref="X201:X202"/>
    <mergeCell ref="Y201:Y202"/>
    <mergeCell ref="Z201:Z202"/>
    <mergeCell ref="AA201:AA202"/>
    <mergeCell ref="AB201:AB202"/>
    <mergeCell ref="X211:AB211"/>
    <mergeCell ref="J212:J213"/>
    <mergeCell ref="K212:K213"/>
    <mergeCell ref="L212:L213"/>
    <mergeCell ref="M212:M213"/>
    <mergeCell ref="N212:N213"/>
    <mergeCell ref="O212:O213"/>
    <mergeCell ref="P212:P213"/>
    <mergeCell ref="Q212:Q213"/>
    <mergeCell ref="R212:R213"/>
    <mergeCell ref="S212:S213"/>
    <mergeCell ref="T212:T213"/>
    <mergeCell ref="U212:U213"/>
    <mergeCell ref="V212:V213"/>
    <mergeCell ref="X212:X213"/>
    <mergeCell ref="Y212:Y213"/>
    <mergeCell ref="Z212:Z213"/>
    <mergeCell ref="AA212:AA213"/>
    <mergeCell ref="AB212:AB2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Structural Information</vt:lpstr>
      <vt:lpstr>Frame Capacities</vt:lpstr>
      <vt:lpstr>Infill Capacities</vt:lpstr>
      <vt:lpstr>System Capacities</vt:lpstr>
      <vt:lpstr>Yield Mechanism</vt:lpstr>
      <vt:lpstr>Post-yield Mechanism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2020-01-08T10:00:11Z</dcterms:modified>
</cp:coreProperties>
</file>