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M:\Contracts Folder\Utilities\Invoice Processor\"/>
    </mc:Choice>
  </mc:AlternateContent>
  <xr:revisionPtr revIDLastSave="0" documentId="13_ncr:1_{27D4C776-F702-4EF1-8222-F22C364801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<sst xmlns="http://schemas.openxmlformats.org/spreadsheetml/2006/main" count="2309" uniqueCount="717">
  <si>
    <t>Date</t>
  </si>
  <si>
    <t>Contract</t>
  </si>
  <si>
    <t>Supplier</t>
  </si>
  <si>
    <t>Invoice No.</t>
  </si>
  <si>
    <t>Hire /Purchase</t>
  </si>
  <si>
    <t>Item</t>
  </si>
  <si>
    <t>Invoice net</t>
  </si>
  <si>
    <t>10 Dec 2021</t>
  </si>
  <si>
    <t>21785</t>
  </si>
  <si>
    <t xml:space="preserve">ONE
</t>
  </si>
  <si>
    <t>Purchase</t>
  </si>
  <si>
    <t>1 15.00 15.00</t>
  </si>
  <si>
    <t>15.00</t>
  </si>
  <si>
    <t>CUSTOMER CALIBRATION 1 15.00 15.00</t>
  </si>
  <si>
    <t>CUSTOMER CALIBRATION CAL 1 55.00 55.00</t>
  </si>
  <si>
    <t>55.00</t>
  </si>
  <si>
    <t>Carriage 1 7.50 7.50</t>
  </si>
  <si>
    <t>62.50</t>
  </si>
  <si>
    <t>Hire</t>
  </si>
  <si>
    <t>01/12/2021 09/12/2021 MSA ALTAIR 4XR (GM201). £30.00 per week for 1 week, 2 days (hire complete) 42.00</t>
  </si>
  <si>
    <t>133.00</t>
  </si>
  <si>
    <t>12 Dec 2021</t>
  </si>
  <si>
    <t>21797</t>
  </si>
  <si>
    <t xml:space="preserve">BEAVER
</t>
  </si>
  <si>
    <t>1 x CP9. £30.00 per week for 1 day (hire complete) 18.00</t>
  </si>
  <si>
    <t>18.00</t>
  </si>
  <si>
    <t>09 Dec 2021</t>
  </si>
  <si>
    <t>21796</t>
  </si>
  <si>
    <t xml:space="preserve">L&amp;S Waste Management Ltd
</t>
  </si>
  <si>
    <t>20</t>
  </si>
  <si>
    <t>0</t>
  </si>
  <si>
    <t>80</t>
  </si>
  <si>
    <t>40</t>
  </si>
  <si>
    <t>11 Dec 2021</t>
  </si>
  <si>
    <t>Hanson Aggregates</t>
  </si>
  <si>
    <t>ST2 20 CIIIA+ 80 6.000 88.20 529.20</t>
  </si>
  <si>
    <t>Waiting Time 26.000 1.67 43.33</t>
  </si>
  <si>
    <t>77.00</t>
  </si>
  <si>
    <t>07 Dec 2021</t>
  </si>
  <si>
    <t xml:space="preserve">Wolseley
</t>
  </si>
  <si>
    <t>N19910 NAY 
225MMX45D 
T
/
W 
BEND 
METRO 
BBA 2 EA 42.565 20.00 85.13</t>
  </si>
  <si>
    <t>448.75</t>
  </si>
  <si>
    <t>CMT Equipment Ltd.</t>
  </si>
  <si>
    <t>CTWATB015 Water Dispenser Bottles 15L Disposable 6.00 6.00 0.00 0.00</t>
  </si>
  <si>
    <t>13 Dec 2021</t>
  </si>
  <si>
    <t xml:space="preserve">mabey
</t>
  </si>
  <si>
    <t>20.00</t>
  </si>
  <si>
    <t>125.00</t>
  </si>
  <si>
    <t xml:space="preserve">ROUDEN
</t>
  </si>
  <si>
    <t>280KD50DNN 1 EACH 64.20 64.20</t>
  </si>
  <si>
    <t>205.05</t>
  </si>
  <si>
    <t xml:space="preserve">WASTE MANAGEMENT
</t>
  </si>
  <si>
    <t>Tonne Type 1 803 Recycled Aggregate 18.240 15.95 290.93</t>
  </si>
  <si>
    <t>1,818.38</t>
  </si>
  <si>
    <t>06 Dec 2021</t>
  </si>
  <si>
    <t>60</t>
  </si>
  <si>
    <t>00</t>
  </si>
  <si>
    <t>30520.00 0/6MMBLIN
D OTHER 17.8 80 17880.00</t>
  </si>
  <si>
    <t>21787</t>
  </si>
  <si>
    <t>DT4 
9DN</t>
  </si>
  <si>
    <t>592.50 7.50 P250 
ST2 
(
20MM
) 
DELIVERED 
MIXER</t>
  </si>
  <si>
    <t>592.50</t>
  </si>
  <si>
    <t>03 Nov 2021</t>
  </si>
  <si>
    <t>20770</t>
  </si>
  <si>
    <t xml:space="preserve">DEC 
</t>
  </si>
  <si>
    <t>33.60</t>
  </si>
  <si>
    <t>40.00</t>
  </si>
  <si>
    <t>14 Dec 2021</t>
  </si>
  <si>
    <t xml:space="preserve">DOONAN
</t>
  </si>
  <si>
    <t>123.00 1.50 M3 
READYMIX 
P300 
ST4 
(
20MM
)</t>
  </si>
  <si>
    <t>123.00</t>
  </si>
  <si>
    <t>HAROLD 
DOONAN 
(
Building 
Materials
HARDCORE 
READY 
MIX</t>
  </si>
  <si>
    <t>164.00 2 M3 
READYMIX 
P300 
ST4 
(
20MM
) 
DELIVERED 
MIXER</t>
  </si>
  <si>
    <t>164.00</t>
  </si>
  <si>
    <t>6.00 CTWATB015 Water Dispenser Bottles 15L Disposable 9.86 59.16 11.83</t>
  </si>
  <si>
    <t>198.86</t>
  </si>
  <si>
    <t>Speedy 
Asset 
Services 
Limited</t>
  </si>
  <si>
    <t>7.75</t>
  </si>
  <si>
    <t>359.98</t>
  </si>
  <si>
    <t xml:space="preserve">C&amp;L
</t>
  </si>
  <si>
    <t>CPM 450mm Dia PCC Gully Cover Slab
Rectangular 2392988 10.00 28.00 Each 280.00</t>
  </si>
  <si>
    <t>523.10</t>
  </si>
  <si>
    <t>MILDREN 
CONSTRUCTION 
LTD</t>
  </si>
  <si>
    <t>1551214 8.00 36.22 Each 289.76 2440x1220x18mm Pine Struct CE2+EN636-2
FSC Mix 70%</t>
  </si>
  <si>
    <t>289.76</t>
  </si>
  <si>
    <t>15 Dec 2021</t>
  </si>
  <si>
    <t>Encon Insulation Limited,</t>
  </si>
  <si>
    <t>83CFB075WH CELLTEX FROST BLANKET 75Mx1.5Mx7mm WHITE 1 ROLL ROLL 159.00 159.00</t>
  </si>
  <si>
    <t>159.00</t>
  </si>
  <si>
    <t>Siteright 
Construction 
Suplies 
Ltd.</t>
  </si>
  <si>
    <t>1.000 DELIVERY 
- 
1-2 
W
/
DAYS 35.000 35.00</t>
  </si>
  <si>
    <t>191.00</t>
  </si>
  <si>
    <t>03 Dec 2021</t>
  </si>
  <si>
    <t>21781</t>
  </si>
  <si>
    <t xml:space="preserve">Keyline 
</t>
  </si>
  <si>
    <t>EACH EACH</t>
  </si>
  <si>
    <t>2137.33</t>
  </si>
  <si>
    <t>EACH EACH EACH</t>
  </si>
  <si>
    <t>157.74</t>
  </si>
  <si>
    <t>EACH</t>
  </si>
  <si>
    <t>152.80</t>
  </si>
  <si>
    <t>01 Dec 2021</t>
  </si>
  <si>
    <t>21786</t>
  </si>
  <si>
    <t>1064.14</t>
  </si>
  <si>
    <t>120MM 
LR3 
VORTEX 
FLOW 
CONTROL 
UNIT 
INC
INTEGRAL 
PIVOTING 
BYPASS 
DOOR
. 
AS 
PER</t>
  </si>
  <si>
    <t>1799.24</t>
  </si>
  <si>
    <t>Cotswold 
Transport 
Planning 
Ltd</t>
  </si>
  <si>
    <t>Application 
Fee 1.00 337.50 337.50</t>
  </si>
  <si>
    <t>3,097.50</t>
  </si>
  <si>
    <t>20768</t>
  </si>
  <si>
    <t>RSA 
Stage 
3 
Road 
Safety 
Audit 1 1,500.00 1,500.00</t>
  </si>
  <si>
    <t>1,500.00</t>
  </si>
  <si>
    <t>1.000 DELIVERY 
BY 
WEDNESDAY 
15/12/2021 50.000 50.00</t>
  </si>
  <si>
    <t>3,766.00</t>
  </si>
  <si>
    <t xml:space="preserve">JDP
</t>
  </si>
  <si>
    <t>1 EA 42.20 14.77 02082081UR AXEDO 
160X150 
SPIGOT 
X 
SOCKET 
U
RIB 
ADAPTOR</t>
  </si>
  <si>
    <t>Siteright 
Supplies</t>
  </si>
  <si>
    <t>1.000 DELIVERY 
- 
By 
WED 
15 
DECEMBER 
(
latest
) 25.000 25.00</t>
  </si>
  <si>
    <t>403.75</t>
  </si>
  <si>
    <t xml:space="preserve">DOONAN 
</t>
  </si>
  <si>
    <t>316.00 4 M3 
READYMIX 
P250 
ST2 
(
20MM
) 
DELIVERED 
MIXER</t>
  </si>
  <si>
    <t>316.00</t>
  </si>
  <si>
    <t>Swanworth 
Qually</t>
  </si>
  <si>
    <t>3.14 TONNE 31.20 97.97 BUILDING 
SAND 
COLL 
EX 
MANNINGS 
HEATH 
RD
LING 
RD</t>
  </si>
  <si>
    <t>97.97</t>
  </si>
  <si>
    <t xml:space="preserve">SYDENHAMS
</t>
  </si>
  <si>
    <t>58.00 20 [
FLOOR 
GRIT
]
[
R
] 2.90 MINI 
BAG 
COARSE 
SHARP 
SAND
[
325673000
]
BTN873035</t>
  </si>
  <si>
    <t>58.00</t>
  </si>
  <si>
    <t>g 
oi</t>
  </si>
  <si>
    <t>THIS 
FUEL 
IS 
NOT 
TO 
BE 
USED 
AS 
ROAD 
FUEL</t>
  </si>
  <si>
    <t>236.72</t>
  </si>
  <si>
    <t>54.96</t>
  </si>
  <si>
    <t>31.06</t>
  </si>
  <si>
    <t xml:space="preserve">Morris Leslie Plant Hire Limited
</t>
  </si>
  <si>
    <t>183.45</t>
  </si>
  <si>
    <t>Dorton Demolition</t>
  </si>
  <si>
    <t>145.00</t>
  </si>
  <si>
    <t>1,300,00</t>
  </si>
  <si>
    <t>Pro Mech Limited</t>
  </si>
  <si>
    <t>129.00 1.00 1 LEG 10mm 1m SWIVEL CHAIN 1LEG10SS 129.00</t>
  </si>
  <si>
    <t>129.00</t>
  </si>
  <si>
    <t>16 Dec 2021</t>
  </si>
  <si>
    <t>Precon Products Ltd</t>
  </si>
  <si>
    <t>PRECON PRESSED WALER PLATE 20.000 EACH 1.3500 0.000 27.00</t>
  </si>
  <si>
    <t>189.51</t>
  </si>
  <si>
    <t>Waiting Time MIN 16.000 1.67 26.67</t>
  </si>
  <si>
    <t>98.34</t>
  </si>
  <si>
    <t xml:space="preserve">Travis Perkins
</t>
  </si>
  <si>
    <t>0306534 1 BREAKER MEDIUM DUTY 7KG 110V RS DAYS 95.50 20.05 02</t>
  </si>
  <si>
    <t>48.61</t>
  </si>
  <si>
    <t>5301305 1 TRIPLE LADDER 3.1M - 10FT 7 DAYS 14.00 14.00</t>
  </si>
  <si>
    <t>14.00</t>
  </si>
  <si>
    <t>1725808 1 DISC CUTTER 300MM - 2 STROKE DAYS 77.25 32.44</t>
  </si>
  <si>
    <t>32.44</t>
  </si>
  <si>
    <t>Elliots</t>
  </si>
  <si>
    <t>16.00</t>
  </si>
  <si>
    <t>312.69</t>
  </si>
  <si>
    <t>M3 4.000 91.40 365.60 ST2 20 CEMI S1</t>
  </si>
  <si>
    <t>TRANSPORT CHARGE TO SITE 12.50 02</t>
  </si>
  <si>
    <t>274.90</t>
  </si>
  <si>
    <t>343810 7 DAYS 42.00 42.00 1 CABLE DETECTOR (CAT)
This is for the CAT Scan and the
Generator together</t>
  </si>
  <si>
    <t>42.00</t>
  </si>
  <si>
    <t>1743738 1 CIRCULAR SAW 190MM - 110V 1 11
DAYS DAYS 62.50 23.62</t>
  </si>
  <si>
    <t>100.64</t>
  </si>
  <si>
    <t xml:space="preserve">TP Travis Perkins
</t>
  </si>
  <si>
    <t>38.00</t>
  </si>
  <si>
    <t>08 Dec 2021</t>
  </si>
  <si>
    <t>938155 938155 80.24 2 40.12</t>
  </si>
  <si>
    <t>80.24</t>
  </si>
  <si>
    <t>250294 BLUE CIRCLE MASTERCRETE IN PLAST 25KG 250294 17.60 4
BAG 4.40</t>
  </si>
  <si>
    <t>17.60</t>
  </si>
  <si>
    <t>19 Dec 2021</t>
  </si>
  <si>
    <t>200179109 HOROBIN
IR 
TESTING 
KIT 2 EA 34.65 55.79</t>
  </si>
  <si>
    <t>105.84</t>
  </si>
  <si>
    <t>17 Dec 2021</t>
  </si>
  <si>
    <t>PURCH 
LEDGER</t>
  </si>
  <si>
    <t>Supply 
and 
deliver 
only 
1 
no 
152x152UC30 
@ 
2.55m 220.00</t>
  </si>
  <si>
    <t>220.00</t>
  </si>
  <si>
    <t>M3 READYMIX 
P250 
ST2 
(
20MM
) 
DELIVERED 
MIXER 316.00</t>
  </si>
  <si>
    <t>HAROLD 
DOONAN 
(
Building</t>
  </si>
  <si>
    <t>474.00 6 M3 
READYMIX 
P250 
ST2 
(
20MM
) 
DELIVERED 
MIXER</t>
  </si>
  <si>
    <t>474.00</t>
  </si>
  <si>
    <t>2 M3 
READYMIX 
P180 
(
20MM
) 
DELIVERED 
TIPPER M3 147.00</t>
  </si>
  <si>
    <t>147.00</t>
  </si>
  <si>
    <t>50.00</t>
  </si>
  <si>
    <t>19743</t>
  </si>
  <si>
    <t>ROLL</t>
  </si>
  <si>
    <t>130.04</t>
  </si>
  <si>
    <t>35.77</t>
  </si>
  <si>
    <t>333.98</t>
  </si>
  <si>
    <t>16.60</t>
  </si>
  <si>
    <t xml:space="preserve">MKM
</t>
  </si>
  <si>
    <t>1.90 EA 9.50 5 
EA EA 22 
x 
125 
2EX 
FEATHER 
EDGE 
GREEN</t>
  </si>
  <si>
    <t>9.50</t>
  </si>
  <si>
    <t>Ticket
: 
98529
, 
Exchange 
of 
12yd 
Skip 
for 
General 
Construction
Waste
ORDER 
NUMBER 
- 
21787/24212 1.00 305.00 305.00</t>
  </si>
  <si>
    <t>610.00</t>
  </si>
  <si>
    <t>4 EA POLYPIPE 
U
/
G 
DRAIN 
460MM 
DIAMETER
SIDE 
RISER 
LARGE 
215MM 
UG431 26.86 EA 107.44</t>
  </si>
  <si>
    <t>161.91</t>
  </si>
  <si>
    <t>116.46 3.00 
EA EA SOFTWOOD 
SHEATHING 
PLY 
1220 
X 
2440 38.82 EA</t>
  </si>
  <si>
    <t>116.46</t>
  </si>
  <si>
    <t>B027555</t>
  </si>
  <si>
    <t>282.31</t>
  </si>
  <si>
    <t>20 EA STANDARD 
RETURNABLE 
PALLET
C000027 20.00 EA 400.00</t>
  </si>
  <si>
    <t>990.02</t>
  </si>
  <si>
    <t>18 
EA EA POLYPIPE 
U
/
G 
DRAIN 
110MM 
DOUBLE
SOCKET 
(
CENTRE 
STOP
) 
UG401
B003322 4.88 EA 87.84</t>
  </si>
  <si>
    <t>211.44</t>
  </si>
  <si>
    <t>200.000 EACH 16x300mm 
DOWEL 
BAR 
SLEEVES 0.180 36.00</t>
  </si>
  <si>
    <t>36.00</t>
  </si>
  <si>
    <t xml:space="preserve">Speedcrete 
</t>
  </si>
  <si>
    <t>320.00</t>
  </si>
  <si>
    <t>Conquip</t>
  </si>
  <si>
    <t>CQ67094 Forklift 
Sweeper 
2100mm 23 1.00 120.00 312.00</t>
  </si>
  <si>
    <t>312.00</t>
  </si>
  <si>
    <t>4</t>
  </si>
  <si>
    <t>185.00</t>
  </si>
  <si>
    <t xml:space="preserve">certas
</t>
  </si>
  <si>
    <t>THIS FUEL IS NOT TO BE USED AS ROAD FUEL</t>
  </si>
  <si>
    <t xml:space="preserve">STESAFETY
</t>
  </si>
  <si>
    <t>B132 1 0 1 EACH 28.44 28.44 White 
Dry 
Wipe 
Board 
900 
X 
600 
KF03571
balance 
of 
order 
154595</t>
  </si>
  <si>
    <t>W86 Cleenol 
Lift 
Spray 
Cleaner 
with 
Bactericide 
750ml 
057549 4 0 4 EACH 4.28 17.12</t>
  </si>
  <si>
    <t>FSVR602 Puma 
Honey 
Nubuck 
Boot 
c
/
w 
Toecap 
&amp; 
Midsole 
S3 
HRO 
SRC
SZ11 1 EACH 54.83 54.83</t>
  </si>
  <si>
    <t>20 Dec 2021</t>
  </si>
  <si>
    <t>Mabey Hire Limited</t>
  </si>
  <si>
    <t xml:space="preserve">Dorset
</t>
  </si>
  <si>
    <t>To be collected by James Evans. 1.00 0.00 0.00 0.00</t>
  </si>
  <si>
    <t xml:space="preserve">STESOFETY
</t>
  </si>
  <si>
    <t>Zeneka 
Disc 
Cutter 
Dust 
Supressing 
Water 
Bottle 
14Ltr
. 
ZE14L 1 1 EACH S105 53.33 53.33</t>
  </si>
  <si>
    <t xml:space="preserve">SITESAFETY
</t>
  </si>
  <si>
    <t>T320 16
" 
Hardened 
Tempered 
Carbon 
Steel 
Flooring 
Trowel 2 0 2 EACH 7.47 14.94</t>
  </si>
  <si>
    <t>G816
/
10 10 7 6.29 PAIR 18.87 Traffiglove 
Red 
SoFlex 
X
-
Dura 
Nitrile 
Fully 
Coated 
Glove 
TG180 
Sz 
10 
(
4.1.2.1.X
)</t>
  </si>
  <si>
    <t xml:space="preserve">SITE 
</t>
  </si>
  <si>
    <t>D132 0 1 EACH 7.77 7.77 Drain 
Test 
Dye 
200gm 
Tub 
Red</t>
  </si>
  <si>
    <t xml:space="preserve">SAFETY
</t>
  </si>
  <si>
    <t>W12 Rocksalt 
25kg 
Bag 10 0 10 EACH 9.02 90.20</t>
  </si>
  <si>
    <t xml:space="preserve">Website: www.doonans.co.uk
</t>
  </si>
  <si>
    <t>158.00 2 M3 READYMIX P250 ST2 (20MM) DELIVERED MIXER</t>
  </si>
  <si>
    <t>147.00 2 M3 READYMIX P180 (20MM) DELIVERED TIPPER</t>
  </si>
  <si>
    <t xml:space="preserve">Brandon Hire Station
</t>
  </si>
  <si>
    <t>1 Transport Tools Collection 3.00 3.00</t>
  </si>
  <si>
    <t>02 Dec 2021</t>
  </si>
  <si>
    <t>Brandon Hire Ltd</t>
  </si>
  <si>
    <t>MILDREN CONSTRUCTION LTD</t>
  </si>
  <si>
    <t>19.09 tonnes @
21.50 per tonne 410.44 82.09</t>
  </si>
  <si>
    <t>21 Dec 2021</t>
  </si>
  <si>
    <t>25QB2412080 44ENV5015 K'THERM K112 FRAMING BRD 2400x1200x 80mm
K'SPAN NILVENT 50Mx1.5M 96 BOARD 7 ROLL 276.480 7.000 27.23 90.54 7,528.55 633.78</t>
  </si>
  <si>
    <t xml:space="preserve">G. Crook &amp; Sons
</t>
  </si>
  <si>
    <t>95.70 tonnes @
12.90 per tonne 1234.53 20.00 246.92</t>
  </si>
  <si>
    <t>SYDENHAMS
STRUCTURAL
TIMBER 
ASSOCIATION
BMF</t>
  </si>
  <si>
    <t>15 43.50 [FLOOR GRIT][R] 2.90 MINI BAG COARSE SHARP SAND
[325673000]
BTN872884</t>
  </si>
  <si>
    <t>P907 2 0 2 EACH 4.73 9.46 White 
Board 
Marker 
Pen 
(
Pack 
4
) 
KF26038</t>
  </si>
  <si>
    <t>H104 6 0 6 EACH 4.50 27.00 JSP 
Surefit 
Thermal 
Helmet 
Liner 
- 
AHV002-301-100</t>
  </si>
  <si>
    <t>G68 24 0 PAIR 0.91 21.84 Black 
PU 
Palm 
Coated 
Gloves 
(
Puggy
) 
DWGL315 
(
3.2.3.1.X
) 
- 
G68
sz10
collected 
on 
a
/
n 
78917</t>
  </si>
  <si>
    <t>0 L342 750ml 
Aerosol 
Can 
Green 
Linemarker 
Paint 12 12 EACH 2.30 27.60</t>
  </si>
  <si>
    <t>G115 Gully 
Silt 
Grab 
5
" 
Diameter 
Bowl 
(
to 
suit 
6
" 
Trap
) 
c
/
w 
1.5m 
Handle 
91095 1 0 1 EACH 102.28 102.28</t>
  </si>
  <si>
    <t>L266 750ml 
Aerosol 
Can 
Yellow 
Linemarker 
Paint 6 0 6 EACH 2.30 13.80</t>
  </si>
  <si>
    <t>1 170.00 Collection on vehicle MABEY RIGID (YJ14 CYT) on 15/12/2021 170.00 4</t>
  </si>
  <si>
    <t>SERVICE CHARGE
Jobsheet 41192 SERVICE CHARGE 36.00 36.00 1</t>
  </si>
  <si>
    <t>19761</t>
  </si>
  <si>
    <t>Grant Haze (Hampshire) Ltd</t>
  </si>
  <si>
    <t>52MM DIA SSS DISABLED TURN WITH INDICATOR &amp; RELEASE ZHZPS006ISS Each 0.00 0.00 1</t>
  </si>
  <si>
    <t>Civils Store Ltd - Southern</t>
  </si>
  <si>
    <t>ZZ 56 25kg Plastic Bag Cement 3.75000 Each 210.00 42.00</t>
  </si>
  <si>
    <t xml:space="preserve"> 767721
Website: www.doonans.co.ukEmail: sales@doonans</t>
  </si>
  <si>
    <t>205.00 2.50 M3 READYMIX P300 ST4 (20MM) DELIVERED TIPPER</t>
  </si>
  <si>
    <t>Wolseley 
UK 
Limited</t>
  </si>
  <si>
    <t>A
/
003 CRANE 
OFF 
LOAD 1 EA 42.000 20.00 42.00</t>
  </si>
  <si>
    <t>BA7552 MAR 
400X400X50MM 
TACTILE 
NAT 288 EA 4.590 20.00 1321.92</t>
  </si>
  <si>
    <t xml:space="preserve">AQUATECH DRAIN SERVICES
</t>
  </si>
  <si>
    <t>1.00 295.00 295.00 To carry out CCTV survey as per instructions / discussion with
Richard Holmes.
Wincan report &amp; DVD footage sent.</t>
  </si>
  <si>
    <t>18719</t>
  </si>
  <si>
    <t>PO68FWC 7.750 101.25 784.69 Cubic Metre - C35 MCC 290 0/20MM S2</t>
  </si>
  <si>
    <t>50</t>
  </si>
  <si>
    <t>Encon Insulation Fareham</t>
  </si>
  <si>
    <t>25QB2412060 K'THERM K112 FRAMING BRD 2400x1200x 60mm 100 BOARD 288.000 5,938.56 20.62</t>
  </si>
  <si>
    <t>P65183 PHI 
32MM 
LINER 
MDPE 
78004 8 EA 0.876 20.00 7.01</t>
  </si>
  <si>
    <t xml:space="preserve">Waste 
</t>
  </si>
  <si>
    <t xml:space="preserve">WASTE 
</t>
  </si>
  <si>
    <t>Tonne 
Type 
1 
803 
Recycled 
Aggregate 18.520 15.95 295.39</t>
  </si>
  <si>
    <t>Cubic 
Metre 
ST2 
MCC 
270 
0
/
20mm 
S1 DX13CPF 5 91.00 455.00</t>
  </si>
  <si>
    <t>5.00 50</t>
  </si>
  <si>
    <t>Tonne 
Type 
1 
Limestone 18.380 21.00 385.98</t>
  </si>
  <si>
    <t>Mildren 
Construction 
Ltd</t>
  </si>
  <si>
    <t xml:space="preserve">Poole
</t>
  </si>
  <si>
    <t>In
-
Dex 
Hex 
Head 
Timber 
Framing Screws 
6.7 
X 
150 
P
/
N 
150IN 33.71 33.71 100 100</t>
  </si>
  <si>
    <t>004 
Gasoil 
(
Class 
A2
) 1155 70.82 817.97</t>
  </si>
  <si>
    <t>76.30 
tonnes 
@
12.90 984.27 196.86</t>
  </si>
  <si>
    <t xml:space="preserve">G. 
</t>
  </si>
  <si>
    <t>MILDREN 
CONSTRUCTION 
MATCHAMS 
LANE
LTD</t>
  </si>
  <si>
    <t>19.14 
tonnes 
@
24.50 per 
tonne 468.93 93.79</t>
  </si>
  <si>
    <t>76.63 
tonnes 
@
12.90 988.53 20.00 197.71</t>
  </si>
  <si>
    <t>14
/
4.2
, 
11
/
4.8
, 
25 
pieces
1.0491m3
*
AC500 
INCORPORATES 
BIOCIDAL 
PRODUCTS 
EU528
/
2012
*
PREVENTING 
WOOD 
DESTROYING 
INSECTS 
&amp; 
FUNGI
*
IT 
CONTAINS 
COPPER 
CARBONATE
, 
BORIC 
ACID 
AND
BENZALKONIUM 
CHLORIDE
.
*
ALWAYS 
WEAR 
GLOVES 
&amp; 
AVOID 
BREATHING 
DUST</t>
  </si>
  <si>
    <t xml:space="preserve">gibbs 
</t>
  </si>
  <si>
    <t>1.00 
EA EA 45.25 EA 45.25</t>
  </si>
  <si>
    <t>1.00 
EA EA 6.99 EA 6.99</t>
  </si>
  <si>
    <t>360.00 72.00</t>
  </si>
  <si>
    <t>45.00 9.00</t>
  </si>
  <si>
    <t>18.60 
tonnes 
@
24.50 per 
tonne 455.70 91.14</t>
  </si>
  <si>
    <t>G. 
Crook 
&amp; 
Sons
CONSTRUCTION 
LTD</t>
  </si>
  <si>
    <t>1216.00 243.20</t>
  </si>
  <si>
    <t>496.00 99.20</t>
  </si>
  <si>
    <t>NB
.</t>
  </si>
  <si>
    <t>640.00 128.00</t>
  </si>
  <si>
    <t>1520.00 304.00</t>
  </si>
  <si>
    <t>G. 
Crook 
&amp; 
Sons
LTD</t>
  </si>
  <si>
    <t>135.00 27.00</t>
  </si>
  <si>
    <t xml:space="preserve">
Print </t>
  </si>
  <si>
    <t>20.00 110.25</t>
  </si>
  <si>
    <t>H31129 MAR 125X255MM 3M HB2 EXT RAD 6 EA 0.000 0.00</t>
  </si>
  <si>
    <t>F69030 PPB 110MMX45D BEND S/S UG404 1 EA 4.350 20.00 4.35</t>
  </si>
  <si>
    <t>Brandon 
Hire 
Ltd</t>
  </si>
  <si>
    <t>MILDREN
CONSTRUCTION 
LTD</t>
  </si>
  <si>
    <t>1.00 
EA EA 45.87 EA 45.87</t>
  </si>
  <si>
    <t>1.00 EA 224.12 EA 224.12</t>
  </si>
  <si>
    <t>16.00 
EA 13.04 EA 208.64</t>
  </si>
  <si>
    <t>1.00 2.73 EA 2.73</t>
  </si>
  <si>
    <t>00004</t>
  </si>
  <si>
    <t xml:space="preserve">SITE SOFETY
</t>
  </si>
  <si>
    <t>G816/10 10 0 Traffiglove Red SoFlex X-Dura Nitrile Fully Coated Glove TG180 Sz 10 (
4.1.2.1.X)
Balance of order 154561 PAIR 6.29 44.03</t>
  </si>
  <si>
    <t xml:space="preserve">SITE SAFETY
</t>
  </si>
  <si>
    <t>Z0122 Zidac 70% Antibacterial Hand Gel 500ml Pump Bottle - 5060748720122 6 0 6 EACH 4.78 28.68</t>
  </si>
  <si>
    <t>X124 Mildren Construction Rear Logo 3 Colour 98827WB (CH) 1 EACH 1.00 1.00</t>
  </si>
  <si>
    <t xml:space="preserve">SITES FETY
</t>
  </si>
  <si>
    <t>T8 Waterproof Cloth Gaffa Tape Silver 50m x 50mm Roll 2 0 2 EACH 4.03 8.06</t>
  </si>
  <si>
    <t>B123 Economy Paint Brush 2" 2 0 2 EACH 0.61 1.22</t>
  </si>
  <si>
    <t>MKM 
B.S. 
(
Dundee
) 
Ltd</t>
  </si>
  <si>
    <t>1 
EA EA POLYPIPE 
U
/
G 
DRAIN 
160MM 
INSPECTION
CHAMBER 
BASE 
460 
DIA 
UG670
B013545 67.50 EA 67.50</t>
  </si>
  <si>
    <t>2 
EA EA XMS21TIEDOWN 
FAITHFULL 
4PC 
GREEN
RATCHET 
TIE 
DOWN 
SET
B037468 12.49 24.98</t>
  </si>
  <si>
    <t>Elliotts</t>
  </si>
  <si>
    <t>FMRJJ</t>
  </si>
  <si>
    <t>CV03 Roll of Safe Distancing Tape 33m x 48mm UKT30SAFE 2 0 2 EACH 7.10 14.20</t>
  </si>
  <si>
    <t>B106 24" Bass Pathway Brush c/w Stayed Handle 1 1 EACH 5.84 5.84</t>
  </si>
  <si>
    <t>ET Economy Supamuff Ear Defender EN352-1 SNR 28db - PW40 3 3 EACH 3.71 11.13</t>
  </si>
  <si>
    <t>strukta 
Group 
Limited
Estate</t>
  </si>
  <si>
    <t>SSPW30140 5 217.00 43.40 Flamstop 
Party 
Wall 
Barrier 
300 
mm 
x 
140 
mm
x 
1200 
mm 
Green</t>
  </si>
  <si>
    <t>Prestressed 
Horizontal 
Panel 
SL 
160mm 
x
1000mm 
x 
2170mm</t>
  </si>
  <si>
    <t xml:space="preserve">
&amp; 
Saf</t>
  </si>
  <si>
    <t>Prestressed 
Horizontal 
Panel 
SL 
160mm 
x
1500mm 
x 
2471mm</t>
  </si>
  <si>
    <t>BELOW 1 145.62 145.62 20</t>
  </si>
  <si>
    <t>Prestressed 
Horizontal 
Panel 
SL 
160mm 
x
1500mm 
x 
1839mm</t>
  </si>
  <si>
    <t>BELOW 3 140.16 420.48 20</t>
  </si>
  <si>
    <t>Prestressed 
Horizontal 
Panel 
SL 
160mm 
x
1500mm 
x 
1359mm</t>
  </si>
  <si>
    <t>Prestressed 
Horizontal 
Panel 
SL 
160mm 
x
1500mm 
x 
1952mm</t>
  </si>
  <si>
    <t xml:space="preserve">Keyline
</t>
  </si>
  <si>
    <t>BELOW 1 139.29 139.29 20</t>
  </si>
  <si>
    <t>Prestressed 
Horizontal 
Panel 
SL 
160mm 
x
1300mm 
x 
1544mm</t>
  </si>
  <si>
    <t>Civils 
Store 
Ltd 
-</t>
  </si>
  <si>
    <t>ZZ Jumbo 
Bag 
Building 
Sand 8 39.00000 Each 312.00 62.40</t>
  </si>
  <si>
    <t>Prestressed 
Horizontal 
Panel 
SL 
160mm 
x
1300mm 
x 
1759mm</t>
  </si>
  <si>
    <t>STOWELL 
EDGE01 
50 
X 
150MM 
EF 
FLAT 
TOP
778822 
(
6 
X 
2 
FIG.11
) 
EDGING 778822 344.00 160
EACH EACH 2.15 EACH</t>
  </si>
  <si>
    <t>02 1.00 120.00 48.00 CQ109726 Forklift 
Sweeper 
2100mm
Hire 
was 
suspended 
for 
6 
day
(
s
)</t>
  </si>
  <si>
    <t>02 1.00 120.00 48.00 CQ67094 Forklift 
Sweeper 
2100mm
Hire 
was 
suspended 
for 
6 
day
(
s
)</t>
  </si>
  <si>
    <t>Hanson 
Aggregates</t>
  </si>
  <si>
    <t>7.500 RC32
/
40 
20 
300 
0.55 
CEMI 
100 
NO 
ADM RC32
/
40 
20 
300 M3 100.20 751.50</t>
  </si>
  <si>
    <t xml:space="preserve">www.altis.co.uk
</t>
  </si>
  <si>
    <t>38.57 EXT 
LADDER 
21FT 
(
1903
)
. 
£
50.00 
per 
week 
for 
1
£
64.29 
40
week
, 
2 
days 
(
hire 
continues
...
) 50.00</t>
  </si>
  <si>
    <t>TRAVIS 
PERKINS 
TRADING 
CO
. 
LTD</t>
  </si>
  <si>
    <t xml:space="preserve">TP 
</t>
  </si>
  <si>
    <t>2070.00</t>
  </si>
  <si>
    <t>938155 938155 2 40.12 80.24</t>
  </si>
  <si>
    <t>Select 
A 
Skip 
UK 
Ltd</t>
  </si>
  <si>
    <t>4.6 22.95 105.57</t>
  </si>
  <si>
    <t>RC32
/
40 
20 
300 
0.55 
CEMI 
S3 RC32
/
40 
20 
300 CEMI 
S3 7.500 100.20 M3 751.50</t>
  </si>
  <si>
    <t>2.000 50.00 Part 
Load M3 100.00</t>
  </si>
  <si>
    <t>ZZ Jumbo Building Sand 5 39.00000 Each 195.00 39.00</t>
  </si>
  <si>
    <t>Travis Perkins</t>
  </si>
  <si>
    <t>EACH THOUSAND</t>
  </si>
  <si>
    <t>996226 BALLAST TRADE PACK 996226 9.28 4 2.32</t>
  </si>
  <si>
    <t>TRAVIS PERKINS TRADING CO. LTD</t>
  </si>
  <si>
    <t>DRILLS *
BREAKERS
*
MIXERS
*
TOWERS
NOW AVAILABLE FROM
TRAVIS PERKINS TOOL HIRE CENTRES</t>
  </si>
  <si>
    <t>760808 1 UNIVERSAL TWO STROKE OIL 790900001 1 EACH 2.35 EACH 2.35 02</t>
  </si>
  <si>
    <t>Evolve Consulting Engineers Ltd</t>
  </si>
  <si>
    <t>Construction 3,500.00</t>
  </si>
  <si>
    <t xml:space="preserve">Jewson
</t>
  </si>
  <si>
    <t>2.00 EA EA 17.81 EA 35.62</t>
  </si>
  <si>
    <t>Evolve</t>
  </si>
  <si>
    <t>Construction 0.00 3,500.00</t>
  </si>
  <si>
    <t xml:space="preserve">Bradfords RECEIVED
</t>
  </si>
  <si>
    <t>Polypipe 110mm Plain Ended Underground Pipe 3mtr
Terracotta UG430 8 PPL305 10 8.19 ea 81.90 16.38</t>
  </si>
  <si>
    <t>3000.00 EA EA 850.00 TH 2550.00</t>
  </si>
  <si>
    <t>4.00 EA EA 17.81 EA 71.24</t>
  </si>
  <si>
    <t>Supplier
: 
ACO 
TECHNOLOGIES 
(
SHEFFORD
)</t>
  </si>
  <si>
    <t>F01286 ACO 
KD305 
915MM 
BN 
CEN 
STONE 
7965 2 EA 53.010 20.00 106.02</t>
  </si>
  <si>
    <t>128.00 LEICA 
680DG 
DUAL 
GRADE 
LASER 
(
RGL043
)
. 
£
40.00 
per 
week 
for 
3 
weeks
, 
1
day 
(
hire 
continues
...
)</t>
  </si>
  <si>
    <t>48.00 RADIODETECTION 
GENERATOR 
4 
(
GEN459
)
. 
£
15.00 
per 
week 
for 
3 
weeks
, 
1
day 
(
hire 
continues
...
)</t>
  </si>
  <si>
    <t>Morris 
Leslie 
Plant 
Hire 
Limited</t>
  </si>
  <si>
    <t>Hire 
was 
suspended 
for 
5 
day
(
s
)</t>
  </si>
  <si>
    <t>Hire 
was 
suspended 
for 
6 
day
(
s
)</t>
  </si>
  <si>
    <t xml:space="preserve">Morris 
</t>
  </si>
  <si>
    <t>576.00</t>
  </si>
  <si>
    <t>2,016.00</t>
  </si>
  <si>
    <t>934.40</t>
  </si>
  <si>
    <t>2000L 
Towable 
Water 
Bowser</t>
  </si>
  <si>
    <t>1,749.60</t>
  </si>
  <si>
    <t>1,282.83</t>
  </si>
  <si>
    <t xml:space="preserve">INsignis
</t>
  </si>
  <si>
    <t>Fees as agreed Draw Down (12-May-21 Rev 2)
August 2021 June 2022 £2,000.00 2,000.00</t>
  </si>
  <si>
    <t xml:space="preserve">Architecture
</t>
  </si>
  <si>
    <t>4,500</t>
  </si>
  <si>
    <t>SEL27153 1.00 1 36.90 154.98 Western 10TCG Fuel Cube 910Ltr
(2017)</t>
  </si>
  <si>
    <t>221/150 Collection Charge</t>
  </si>
  <si>
    <t>Hire was suspended for 5 day(s)</t>
  </si>
  <si>
    <t>221/100 Delivery Charge</t>
  </si>
  <si>
    <t>Delivery Charge</t>
  </si>
  <si>
    <t>Collection Charge</t>
  </si>
  <si>
    <t xml:space="preserve">Website: www.doonans.co.ukEmail: sales@doonans.co.uk 
</t>
  </si>
  <si>
    <t>102.50 1.25 M3 READYMIX P300 ST4 (20MM) DELIVERED TIPPER</t>
  </si>
  <si>
    <t>3 Sharpening / Wear Charge 3.50 10.50</t>
  </si>
  <si>
    <t>190.73</t>
  </si>
  <si>
    <t>144.00 4.5mm x 100 mtr Cobra - ferret frame (COB011). £45.00 per week for 3 weeks, 1
day (hire continues...)</t>
  </si>
  <si>
    <t>Brandon Hire 
Limited</t>
  </si>
  <si>
    <t>1 3 wks 515.04 1545.12 Bowser &amp; Diesel Pressure Washer</t>
  </si>
  <si>
    <t xml:space="preserve">Brandon 
</t>
  </si>
  <si>
    <t>Brandon Hire Station</t>
  </si>
  <si>
    <t>3.00 3.00 1 Transport Tools Collection</t>
  </si>
  <si>
    <t>587.93</t>
  </si>
  <si>
    <t>Brandon Hire Ltd 
Limited</t>
  </si>
  <si>
    <t xml:space="preserve">gibbs &amp; dandy
</t>
  </si>
  <si>
    <t>5.00 EA 12.25 EA 61.25</t>
  </si>
  <si>
    <t>80.00 ABTECH AB15RT (W040). £25.00 per week for 3 weeks, 1 day (hire
continues...)</t>
  </si>
  <si>
    <t>624.00 1 x Leica TS16 Robotic (3266363). £195.00 per week for 3 weeks, 1 day (hire
continues...)</t>
  </si>
  <si>
    <t>128.00 LEICA RUGBY CLX700 (RGL027). £40.00 per week for 3 weeks, 1 day (hire
continues...)</t>
  </si>
  <si>
    <t>LEICA RUGBY CLX700 (RGL031). £40.00 per week for 3 weeks, 1 day (hire
continues...) 128.00</t>
  </si>
  <si>
    <t>70.40 TOPCON RLH5A LASER LEVEL with LS80/Bracket (RL178). £22.00 per week
for 3 weeks, 1 day (hire continues...)</t>
  </si>
  <si>
    <t>96.00 Topcon RL-SV2S Dual Grade Laser Level (RGL038). £30.00 per week for 3
weeks, 1 day (hire continues...)</t>
  </si>
  <si>
    <t>1.00 1 44.00 44.00 Collection Charge</t>
  </si>
  <si>
    <t>Tonne Type 1 Limestone 18.520 21.00 388.92</t>
  </si>
  <si>
    <t>GAP</t>
  </si>
  <si>
    <t>1 MO015 Cobra Reel - 11mm x 250m
DELVT01 Plant Equipment&lt;3.5t Del11-1 DELVT01 01 1.4 40.00 10.00 56.00 10.00 1 01</t>
  </si>
  <si>
    <t>Layflat Hose P/Metre 1.2 1.00 10.80 9</t>
  </si>
  <si>
    <t>Xmas suspension #807642 LORMCK 0.6 7.50 1 01 12.50</t>
  </si>
  <si>
    <t>RF150MM ROAD FORMS 150MM 10.00 4.75 95.00</t>
  </si>
  <si>
    <t>LADDER ACCESS PLATFORM 1.00 1 0 3 40.00 24.00</t>
  </si>
  <si>
    <t>RF200MM ROAD FORMS 200MM 20.00 0 3 5.00 60.00</t>
  </si>
  <si>
    <t>Pickerings</t>
  </si>
  <si>
    <t>1</t>
  </si>
  <si>
    <t xml:space="preserve">Pickerings 
</t>
  </si>
  <si>
    <t>1 STOR-RACK STOR-RACK Store Racking 5.00 23.00</t>
  </si>
  <si>
    <t>50.74</t>
  </si>
  <si>
    <t>15.18</t>
  </si>
  <si>
    <t>PID Systems</t>
  </si>
  <si>
    <t>31/12/2021 1 x SmartWaterⓇ ENGINEER. £20.00 per week for 4 weeks, 3 days (hire
continues...) 88.57</t>
  </si>
  <si>
    <t>31/12/2021 2x VIDEOGUARD 360. £49.00 each per week for 4 weeks, 3 days (hire
continues...) 434.00</t>
  </si>
  <si>
    <t xml:space="preserve">PRECON </t>
  </si>
  <si>
    <t>PRECON STAINLESS STEEL WIRE TW-SS18-25 1.000 ROLL 75.0000 75.00</t>
  </si>
  <si>
    <t xml:space="preserve">PRODUCTS
</t>
  </si>
  <si>
    <t>TW-SS18-25 PRECON STAINLESS STEEL WIRE ROLL 1.0000</t>
  </si>
  <si>
    <t>0.6 9.00 Xmas suspension #807642 LORMCK 807642 LORMCK 1</t>
  </si>
  <si>
    <t>STS
RT = Hire Return, CO = Hire Continuation, SA = Sale
EXRT = Exchanged Item Off-Hire, EXCO = Exchanged Item On-Hire</t>
  </si>
  <si>
    <t>U Drive</t>
  </si>
  <si>
    <t>Rental 
Customers 
Ins 
(
5 
x 
Days 
@ 
£
12.75
) 5 12.7500 63.75</t>
  </si>
  <si>
    <t xml:space="preserve">southampton@u-drive.co.uk 
</t>
  </si>
  <si>
    <t>Rental 
Customers 
Ins 
(
31 
x 
Days 
@ 
£
12.75
) 31 12.7500 395.25</t>
  </si>
  <si>
    <t xml:space="preserve">HAROLD 
</t>
  </si>
  <si>
    <t>1 M3 
READYMIX 
P180 
(
20MM 73.50</t>
  </si>
  <si>
    <t xml:space="preserve">BOONAN 
</t>
  </si>
  <si>
    <t>1 M3 
READYMIX 
P180 
(
20MM
) M3 73.50</t>
  </si>
  <si>
    <t>3 M3 
READYMIX 
P180 
(
20MM
) 
DELIVERED 
TIPPER M3 220.50</t>
  </si>
  <si>
    <t>1 1/2 
M3 
READYMIX 
P300 
ST4 
(
20MM 82.00</t>
  </si>
  <si>
    <t xml:space="preserve">plc 
</t>
  </si>
  <si>
    <t>Free 
Days 
Christmas 
suspension 
2021 
23/12/21 
to 
31/12/21 
@ 
110.00 
per 
day 770.00-</t>
  </si>
  <si>
    <t xml:space="preserve">Weymouth
</t>
  </si>
  <si>
    <t>12.00 
EA 5.52 EA 66.24</t>
  </si>
  <si>
    <t>COT Customers 
Own 
Transport 1 0.00 /
Sales 0.00 01</t>
  </si>
  <si>
    <t>Minimum 
rental 
period 1.4 2 0.75 2.10 01</t>
  </si>
  <si>
    <t>Xmas 
suspension 
#
807642 
LORMCK Xmas 
suspension 0.6 58.00 34.80 1</t>
  </si>
  <si>
    <t>LYNN ROAD</t>
  </si>
  <si>
    <t>Xmas 
suspension 
#
807642 
LORMCK 807642 LORMCK 0.6 35.00 1 21.00</t>
  </si>
  <si>
    <t xml:space="preserve">poole@u-drive.co.uk
</t>
  </si>
  <si>
    <t>Rental 
Customers 
Ins 
(
29 
x 
Days 
@ 
£
12.75
) 29 12.7500 369.75</t>
  </si>
  <si>
    <t>WINFRITH</t>
  </si>
  <si>
    <t>GAP 
Group 
Ltd.</t>
  </si>
  <si>
    <t>821263</t>
  </si>
  <si>
    <t>PRO MECH</t>
  </si>
  <si>
    <t>COLLECTION 
CHARGE 1.00 1 90.00 90.00</t>
  </si>
  <si>
    <t>Pro 
Mech 
Limited</t>
  </si>
  <si>
    <t>CONCRETE 
TUC 
SKIP 
500 
LTR 1.00 24 55.00 154.00</t>
  </si>
  <si>
    <t>RP8
+
4
+
20mm 
thick 8x4x20mm 
ROAD 
PLATE 2.00 16.00 147.20</t>
  </si>
  <si>
    <t>RP4
+
4 4x4x13mm 
ROAD 
PLATE 2.00 10.00 92.00</t>
  </si>
  <si>
    <t xml:space="preserve">Pickerings
</t>
  </si>
  <si>
    <t>1 0.00 0.00</t>
  </si>
  <si>
    <t>32ft 
Office 
with 
Sink 1 PSU13749 53.91 247.98</t>
  </si>
  <si>
    <t>1 PSU6377 10ft 
1
+
1 
Shower 
Units 66.00 303.60</t>
  </si>
  <si>
    <t>x4 
1.5m 
Double 
Sided 
Cloakroom 
Ben 1 FURNPACK
-
32DRY 9.00 t41.40</t>
  </si>
  <si>
    <t>U
-
DRIVE</t>
  </si>
  <si>
    <t>Rental 
Customers 
Ins 
(
36 
x 
Days 
@ 
£
12.75
) 36 12.7500 459.00</t>
  </si>
  <si>
    <t>13 EXT240-32 3.50 209.30 20m 
32amp 
240V 
Extension 
Lead
Stair 
Case 
Landing 1 PST303 10.50 48.30</t>
  </si>
  <si>
    <t>Pickering</t>
  </si>
  <si>
    <t>1 PSU14230 32ft 
Security 
Store 34.65 159.39</t>
  </si>
  <si>
    <t>Single 
Load 
Delivery 175.00 175.00</t>
  </si>
  <si>
    <t>Standard 
Delivery 1 1201 250.00 250.00</t>
  </si>
  <si>
    <t>5 LORRY
-
H Site 
Relocation 
- 
20/12/2021 85.00 425.00</t>
  </si>
  <si>
    <t>Unknown</t>
  </si>
  <si>
    <t>C40 
with 
AEA 2.00 M3 102.00 204.00</t>
  </si>
  <si>
    <t xml:space="preserve">ACS
</t>
  </si>
  <si>
    <t>Cube 
disposal 
fee 
(
per 
sample
) 0.35 4.00 1.40</t>
  </si>
  <si>
    <t xml:space="preserve">VAT 
</t>
  </si>
  <si>
    <t>Cube 
disposal 
fee 
(
per 
sample
) 5.60 16.00 0.35</t>
  </si>
  <si>
    <t>Cube 
disposal 
fee 
(
per 
sample
) 16.00 0.35 5.60</t>
  </si>
  <si>
    <t>PID</t>
  </si>
  <si>
    <t>1 
x 
MOBILE 
RESPONSE- 
confirmed
. 
£
45.00 
per 
week 
for 
4 
weeks
, 
3 
days
(
hire 
continues
...
) 199.29</t>
  </si>
  <si>
    <t>M
&amp;
J 
Engineers 
Ltd.</t>
  </si>
  <si>
    <t>3.2 1 EA 27.00 WK 86.40 011203
/
E326152 Mixer 
5/3 
&amp; 
1/2 
(
Diesel 
with 
Elec 
Start
)
Hired 
from
: 
01/12/2021 
to 
31/12/2021
(
including 
7.0 
free 
days
)</t>
  </si>
  <si>
    <t xml:space="preserve">TARDIS
</t>
  </si>
  <si>
    <t>1 1,200.00 SL STD 1,200.00</t>
  </si>
  <si>
    <t>TP Hire</t>
  </si>
  <si>
    <t>0132359 1 ROTARY HAMMER DRILL L/D 110V RS 24 DAYS 95.50 72.20</t>
  </si>
  <si>
    <t xml:space="preserve"> by
Health &amp; Saf</t>
  </si>
  <si>
    <t>898483 2 CONC KERB B/N 125X255X915MM BN EACH 8.32 EACH 16.64 02</t>
  </si>
  <si>
    <t>thínkproject</t>
  </si>
  <si>
    <t>21785
For the month of January 2022
QTE: 3246
FAO; Phil Nelson</t>
  </si>
  <si>
    <t xml:space="preserve">Professional 
</t>
  </si>
  <si>
    <t>Speedcrete 
Collection 35.00 1.00 35.00</t>
  </si>
  <si>
    <t>108.00</t>
  </si>
  <si>
    <t>1 EA 19.92 17.13 2003TELEECON ECONOMY 
GREEN 
TELEPHONE
WARNING 
TAPE 
X 
365M 
50MU</t>
  </si>
  <si>
    <t>8 EA 240.70 895.40 0707RC11050B 110MM 
OD 
BLACK 
COILED 
DUCT 
X50M
MARKED 
ELECTRIC</t>
  </si>
  <si>
    <t xml:space="preserve">Travis 
</t>
  </si>
  <si>
    <t>848742 9.16 20 1 9.16</t>
  </si>
  <si>
    <t xml:space="preserve">DECORATOR 
</t>
  </si>
  <si>
    <t>AE0127002E DULUX 
TRADE 
SUPERMATT 
WHITE 
*
ND
* 41.56 41.56 EA 1</t>
  </si>
  <si>
    <t>14.70</t>
  </si>
  <si>
    <t>3 M3 
READYMIX 
P180 
(
20MM
) 
DELIVERED 
MIXER M3 220.50</t>
  </si>
  <si>
    <t xml:space="preserve">Pickerings 50
</t>
  </si>
  <si>
    <t>1 RH004 Eff Tank Empty EHS 07/01/22 Aborted 120.00 120.00</t>
  </si>
  <si>
    <t>1 RH004 Eff Tank Empty EHS 06/01/21 Aborted 120.00 120.00</t>
  </si>
  <si>
    <t xml:space="preserve">JURYS
</t>
  </si>
  <si>
    <t>0.00</t>
  </si>
  <si>
    <t xml:space="preserve">Jurys Inn Plymouth
</t>
  </si>
  <si>
    <t>65.00 73.13</t>
  </si>
  <si>
    <t>REN
CONSTRUCT</t>
  </si>
  <si>
    <t>Jurys Inn</t>
  </si>
  <si>
    <t>219.39</t>
  </si>
  <si>
    <t>Thirst First Watercoolers</t>
  </si>
  <si>
    <t>13.00 13.00 Cooler Rental</t>
  </si>
  <si>
    <t>Ea</t>
  </si>
  <si>
    <t xml:space="preserve">Speedy
</t>
  </si>
  <si>
    <t>63.00</t>
  </si>
  <si>
    <t>2 13.00 26.00 Cooler 
Rental
Weymouth 
-
December
21787
.</t>
  </si>
  <si>
    <t>AGGREGATE
INDUSTRIES</t>
  </si>
  <si>
    <t>HX66DUU MIS.021 Waiting Time 0.42 Hour 108.00 45.36</t>
  </si>
  <si>
    <t xml:space="preserve">Kendall </t>
  </si>
  <si>
    <t>HX66DSY RMX ENP ST1 20mm CIIIA S1 ECOPact 6.00 104.25 625.50</t>
  </si>
  <si>
    <t>Kendall</t>
  </si>
  <si>
    <t>RC32/40 20mm CIIIA WRA S2
ECOPact HX17CVL RMX ENC 2.50 109.25 273.13</t>
  </si>
  <si>
    <t>004 
Gasoil 
(
Class 
A2
)
THIS 
FUEL 
IS 
NOT 
TO 
BE 
USED 
AS 
ROAD 
FUEL 602 71.27 429.05</t>
  </si>
  <si>
    <t>Encon 
Insulation 
Limited</t>
  </si>
  <si>
    <t>81CCSTPL354050 COR 
CONCRETE 
SPACER 
TRIPLE 
35x40x50 
(
200
) 2 
BAG 11.60</t>
  </si>
  <si>
    <t>Ready 
Mixed 
Concrete</t>
  </si>
  <si>
    <t>AV17ZXC RMX 
ENC 7.50 m3 109.25 819.38 RC32
/
40 
20mm 
CIIIA 
WRA 
S2
ECOPact</t>
  </si>
  <si>
    <t xml:space="preserve">U-DRIVE
</t>
  </si>
  <si>
    <t>Rental Customers Ins (5 x Days @ £12.75) 5 12.7500 63.75</t>
  </si>
  <si>
    <t>246.00 3 M3 READYMIX P300 ST4 (20MM) DELIVERED MIXER</t>
  </si>
  <si>
    <t>825.00 0.00 33.00</t>
  </si>
  <si>
    <t>G. 
Crook 
&amp; 
Sons</t>
  </si>
  <si>
    <t>24.50 37.18 tonnes @ 910.91 182.18</t>
  </si>
  <si>
    <t xml:space="preserve">G. CROOK &amp; SONS
</t>
  </si>
  <si>
    <t>31.000</t>
  </si>
  <si>
    <t>70.00 14.00</t>
  </si>
  <si>
    <t>4 EA 39.67 36.50 010264DT 160 X 110MM LEVEL INVERT TAPER
(20036016)</t>
  </si>
  <si>
    <t xml:space="preserve">Bradfords
</t>
  </si>
  <si>
    <t>ea</t>
  </si>
  <si>
    <t>Harold Doonan</t>
  </si>
  <si>
    <t>615.00 7.50 M3 READYMIX P300 ST4 (20MM) DELIVERED MIXER</t>
  </si>
  <si>
    <t>54UHTXF300B075 CELLECTA HEX XFLOOR 300 2500x600x 75mm 175 BOARD 262.500 4,344.37</t>
  </si>
  <si>
    <t>HY19DZF 197.00 197.00 Exchange4 Yard 3 M3 Midi Skip - Mixed Construction
Waste</t>
  </si>
  <si>
    <t>269999 RIGID LOAD CHARGE 269999</t>
  </si>
  <si>
    <t>1.00</t>
  </si>
  <si>
    <t>18688</t>
  </si>
  <si>
    <t xml:space="preserve">Vp Brandon Hire Station
</t>
  </si>
  <si>
    <t>Standard 69.00 20.00 69.00</t>
  </si>
  <si>
    <t>21784</t>
  </si>
  <si>
    <t>Standard 20.00 92.00</t>
  </si>
  <si>
    <t xml:space="preserve">Dde 
</t>
  </si>
  <si>
    <t xml:space="preserve">Dre-
</t>
  </si>
  <si>
    <t>03923</t>
  </si>
  <si>
    <t>WOLSELEY</t>
  </si>
  <si>
    <t>NAY 
94
/
110MM 
T
/
W 
COUPLING 6 H04943 EA 2.551 NETT 20.00 15.31</t>
  </si>
  <si>
    <t>Standard 20.00 164.52</t>
  </si>
  <si>
    <t>Standard 272.88 20.00 272.88</t>
  </si>
  <si>
    <t>Standard 20.00 55.99</t>
  </si>
  <si>
    <t>Standard 20.00 206.77</t>
  </si>
  <si>
    <t>25X100 PLASTIC DOWEL CAP (100 PACK) DC25100 15.94 1.000 PACK 15.9400 0.000</t>
  </si>
  <si>
    <t>Corstorphine &amp; Wright Ltd.</t>
  </si>
  <si>
    <t xml:space="preserve">U-DRIVE LTD
</t>
  </si>
  <si>
    <t>Rental Customers Ins (13 x Days @ £25.75) 13 25.7500 334.75</t>
  </si>
  <si>
    <t>Standard 20.00 277.65</t>
  </si>
  <si>
    <t xml:space="preserve">Shepherds
</t>
  </si>
  <si>
    <t>PG070 SUMMIT 70MM TRIM 3 Each 3.96667 11.90</t>
  </si>
  <si>
    <t>1 82.00 M3 READYMIX P300 ST4 (20MM)</t>
  </si>
  <si>
    <t xml:space="preserve">HAROLD DOONAN (Building Materials) LTD.
</t>
  </si>
  <si>
    <t>M3 READYMIX P300 ST4 (20MM) M3 123.00 1.50</t>
  </si>
  <si>
    <t>X 18MM
T001984</t>
  </si>
  <si>
    <t>528483 528483 563.70 15
EACH EACH 37.58 EACH</t>
  </si>
  <si>
    <t>HILLS QUARRY PRODUCTS LTD</t>
  </si>
  <si>
    <t>C32/40 DC 2 CIIIA+SR 20mm S3 WRA
Minimum cement content: 320
Water cement ratio: 0.55 7.50 103.50 776.25</t>
  </si>
  <si>
    <t xml:space="preserve">Siteright Supplies LtdConstructionSupplies Ltd
</t>
  </si>
  <si>
    <t>1.000 DELIVERY - 1-2 W/DAYS 17.500 17.50</t>
  </si>
  <si>
    <t>Standard 155.02 20.00 155.02</t>
  </si>
  <si>
    <t>6 EA 8.60 13.93 01024D20D 110MM DOUBLE SOCKET COUPLER
(20036018)</t>
  </si>
  <si>
    <t xml:space="preserve">GCS Agricentre
</t>
  </si>
  <si>
    <t>Standard 77.51 20.00 77.51</t>
  </si>
  <si>
    <t>Standard 20.00 181.90</t>
  </si>
  <si>
    <t>Standard 20.00 75.36</t>
  </si>
  <si>
    <t>Standard 20.00 103.36</t>
  </si>
  <si>
    <t>Standard 20.00 115.00</t>
  </si>
  <si>
    <t>Standard 20.00 62.01</t>
  </si>
  <si>
    <t>Standard 20.00 144.09</t>
  </si>
  <si>
    <t>Encon Insulation Limited</t>
  </si>
  <si>
    <t>91ACRPUR1 CARRIAGE PURCHASE OF GOODS IN.1 1 EACH EACH 1.000 EACH 1.000 20.00 EACH 20.00</t>
  </si>
  <si>
    <t>16-150 HEXAGON HEAD ANKERBOLT (10) FIX-JAB16/1815 FIX-JAB16/1815 3.000 PACK 24.3400 73.02</t>
  </si>
  <si>
    <t>TP</t>
  </si>
  <si>
    <t>996239 BUILDING SAND TRADE PACK 996239 16.38 6 2.73</t>
  </si>
  <si>
    <t>TUB</t>
  </si>
  <si>
    <t>Elliottis Softwood Ply - Structual 2440x1220x18mm
C+/C CE2+ EXT Plywood (EN13986; EN636-2; EN314-2
Class 2 E1) FSC Mix 70%
In external applications all faces and edges must be sealed prior to use 8 Each 35.97 287.75 57.55</t>
  </si>
  <si>
    <t>AGGREGATE
H</t>
  </si>
  <si>
    <t>HX17CVM RMX ENP ST1 20mm CIIIA S1 ECOPact 5.00 104.25 521.25</t>
  </si>
  <si>
    <t>HX17CVM PART LOAD Part Load 1.00 Each 55.00 55.00</t>
  </si>
  <si>
    <t>Dorton Demolition &amp; Excavation (SW) Ltd</t>
  </si>
  <si>
    <t>435.00</t>
  </si>
  <si>
    <t>03926</t>
  </si>
  <si>
    <t>IX-JAB16/18150 16-150 HEXAGON HEAD ANKERBOLT 16-150 PACK 3.0000</t>
  </si>
  <si>
    <t xml:space="preserve">HORNDEAN TYMES LTD
</t>
  </si>
  <si>
    <t>HT077365</t>
  </si>
  <si>
    <t>Hanson Quarry Products Europe Ltdo</t>
  </si>
  <si>
    <t>RC32/40 20 300 0.55 CEMI S2 RC32/40 20 300 CEMI S2 2.000 110.90 221.80</t>
  </si>
  <si>
    <t>Hanson Quarry Products Europe Ltd</t>
  </si>
  <si>
    <t>MIN 30.000 50.00 Waiting Time 1.67</t>
  </si>
  <si>
    <t>Collection 7.50</t>
  </si>
  <si>
    <t>6 M3 
READYMIX 
P250 
ST2 
(
20MM
) 
DELIVERED 
MIXER 486.00</t>
  </si>
  <si>
    <t xml:space="preserve">Sydenhams
</t>
  </si>
  <si>
    <t>1 SIKA 
25kgs 
SIKALEVEL 
125 
LATEX 
SELF 
LEVELLING 18.99 18.99 20.00</t>
  </si>
  <si>
    <t>52 EA 8.60 120.74 01024D20D 110MM 
DOUBLE 
SOCKET 
COUPLER
(
20036018
)</t>
  </si>
  <si>
    <t>1160 3 STEEL 
PROP 
SIZE 
1 
(
5'9
" 
- 
10'3
"
) 1.00 3.00</t>
  </si>
  <si>
    <t>925388 DISPENSER 
OF 
10 
STA211921 2.90 20 1 2.90</t>
  </si>
  <si>
    <t>735820 GALVANISED 
2 
1
/
2KG
. 14.39 1 14.39</t>
  </si>
  <si>
    <t>Crook</t>
  </si>
  <si>
    <t>38.37 
tonnes 
@
12.90 per 
tonne 494.97 20.00 98.99</t>
  </si>
  <si>
    <t>resopol</t>
  </si>
  <si>
    <t>2 Silverline Disposable Paint Brush 25mm 1.36 0.68</t>
  </si>
  <si>
    <t>ProMech</t>
  </si>
  <si>
    <t>BS3.25 3.25T BOW SHACKLE 2.00 1 5.30 10.60</t>
  </si>
  <si>
    <t>Select A Skip UK Ltd</t>
  </si>
  <si>
    <t>tip excess 0 178.00 0.00</t>
  </si>
  <si>
    <t xml:space="preserve">EAGLE PLANT
</t>
  </si>
  <si>
    <t>RED DIESEL USED * 20% VAT rate * (REDDIESEL). 8 Ltrs @ £1.10 per Ltr 8.80</t>
  </si>
  <si>
    <t xml:space="preserve">Siteright
</t>
  </si>
  <si>
    <t>1.000 DELIVERY - FRIDAY 14 JANUARY 2022 85.000 85.00</t>
  </si>
  <si>
    <t>30.65 18.70 0621SB1515DW 150MM X 150MM DI SURFACE BOX
1
EA
100MM C&amp;F W BS5834 1</t>
  </si>
  <si>
    <t>C32/40 DC 2 CINIA+SR 20mm S3 WRA
Minimum cement content: 320
Water cement ratio: 0.55 CH-422515-WF Woodsford 7.50 103.50 776.25</t>
  </si>
  <si>
    <t>4.00 103.50 414.00 C32/40 DC 2 CIIIA+SR 20mm S3 WRA
Minimum cement content: 320
Water cement ratio: 0.55</t>
  </si>
  <si>
    <t>YDEL 1.000 DELIVERY W/C MONDAY 13/12/2021 95.000 95.00</t>
  </si>
  <si>
    <t>4 M3 READYMIX P220 (20MM) DELIVERED MIXER 310.00</t>
  </si>
  <si>
    <t>8 yd enclosed exchan 1 280.00 280.00</t>
  </si>
  <si>
    <t>Uncarried volume charge 90.00</t>
  </si>
  <si>
    <t>New Milton Concrete Limited</t>
  </si>
  <si>
    <t>0.4 7564 ST2 20/5 GR CEMI 87.05 34.82</t>
  </si>
  <si>
    <t>20 EA 5.28 29.04 0425150TRS 150MM TWINWALL RING SEAL</t>
  </si>
  <si>
    <t>4.00 7.68 0707CRC110 110MM DUCT COUPLING RCC110 4 EA</t>
  </si>
  <si>
    <t>3 EA 39.67 27.37 010264DT 160 X 110MM LEVEL INVERT TAPER
(20036016)</t>
  </si>
  <si>
    <t>AC 20 dense bin 100/150 rec HH 10.100 72.75 734.78</t>
  </si>
  <si>
    <t>5.900 Part Load 15.00 88.50</t>
  </si>
  <si>
    <t>Tonne Type 1 803 Recycled Aggregate 18.580 15.95 296.35</t>
  </si>
  <si>
    <t>Tonne Type 1 Limestone 18.020 22.9 412.66</t>
  </si>
  <si>
    <t>Doonans</t>
  </si>
  <si>
    <t>1 103.50 M3 READYMIX P300 ST4 (20MM)</t>
  </si>
  <si>
    <t>123.00 1.50 M3 READYMIX P300 ST4 (10MM) DELIVERED TIPPER M3</t>
  </si>
  <si>
    <t>JDP Dorchester</t>
  </si>
  <si>
    <t>1 EA 5.31 4.27 2040331108 PAINT ROAD CONTRACT ORANGE
750ML</t>
  </si>
  <si>
    <t>Barrett Steel Ltd</t>
  </si>
  <si>
    <t>L 6288.00 UNIVERSAL COLUMN 152 X 152 X 23
All Matl. Shotblasted &amp; Primed (STDGREY)
STK 1800 O/C
STK 2600 O/C
STK 3000 O/C
STK 3200 O/C
STK 3900 O/C
STK 4400 O/C 4 7 15 22 8 10</t>
  </si>
  <si>
    <t>ecotricity</t>
  </si>
  <si>
    <t>Electricity Charges</t>
  </si>
  <si>
    <t>Construction Waste</t>
  </si>
  <si>
    <t>Certas Energy Ltd</t>
  </si>
  <si>
    <t>30 MT 15.34 98.94 01864UP3S 110MM SINGLE SOCKET U3 SN8 SEWER
PIPE X 3M (20049683)</t>
  </si>
  <si>
    <t>135.00</t>
  </si>
  <si>
    <t>38.60 tonnes @
12.90
per tonne 497.94 20.00 99.58</t>
  </si>
  <si>
    <t>18.90 tonnes @
12.90 per tonne 243.81 48.76</t>
  </si>
  <si>
    <t>Keyline Civils Specialist</t>
  </si>
  <si>
    <t>20775</t>
  </si>
  <si>
    <t>004 Gasoil (Class A2) 2500 73.39 1,834.75 366.95</t>
  </si>
  <si>
    <t>Dde</t>
  </si>
  <si>
    <t>486.00 6 M3 READYMIX P250 ST2 (20MM) DELIVERED MIXER</t>
  </si>
  <si>
    <t>MKM Building Supplies Weymouth</t>
  </si>
  <si>
    <t>11 EA EA POLYPIPE U/G DRAIN 110MM 3M PLAIN
ENDED PIPE UG430
B001545 13.02 143.22</t>
  </si>
  <si>
    <t>C32/40 DC 2 CINIA+SR 20mm S3 WRA
Minimum cement content: 320
Water cement ratio: 0.55 CH-422967-WF Woodsford 7.50 98.00 735.00</t>
  </si>
  <si>
    <t>1 EA 110.93 29.95 01024DLMB 450MM DIA X 247MM DEEP CHAMBER
BASE 110MM(20034179)</t>
  </si>
  <si>
    <t>120.00 1 RH004 120.00 10/01 Tank Empty EHS</t>
  </si>
  <si>
    <t>Pickerings Hire Ltd</t>
  </si>
  <si>
    <t>1 RH004 10/01 Tank Empty EHS 120.00 120.00</t>
  </si>
  <si>
    <t>Jewson Plymouth - Sutton Road</t>
  </si>
  <si>
    <t>00006</t>
  </si>
  <si>
    <t>Site Safety Ltd</t>
  </si>
  <si>
    <t>X124 Mildren 
Construction 
Rear 
Logo 
3 
Colour 
98827WB 
(
CH
) 5 0 5 EACH 1.00 5.00</t>
  </si>
  <si>
    <t>One Point Survey Equipment</t>
  </si>
  <si>
    <t>5M STAFF 4 30.00 each 120.00</t>
  </si>
  <si>
    <t>F &amp; P Wholesale</t>
  </si>
  <si>
    <t>S996 2 
ton 
Web 
Lifting 
Sling 
3 
meter 
Long 
EN1492-1
/
A1 
457003 1 0 1 EACH 16.20 16.20</t>
  </si>
  <si>
    <t>L401 5 0 5 EACH 19.34 96.70 Trailing 
Extension 
Lead 
16amp 
110volt 
1.5mm 
Cable 
14m 
Long
FPPTL14ML</t>
  </si>
  <si>
    <t>T278 Paper 
Hand 
Towels 
10
" 
Blue 
Rolls 
2 
Ply 
(
case 
24
) 
HGB001 0 1 EACH 34.08 34.08</t>
  </si>
  <si>
    <t>F176 0 Black 
Wellington 
Boot 
With 
Slip 
Resistant 
Sole 
Toecap 
&amp; 
Midsole 
S5 PAIR 16.94 16.94</t>
  </si>
  <si>
    <t>SP112 Adblue 
20ltr 
Drum 
- 
GRC20LD
balance 
of 
order 
155446 2 0 2 EACH 20.00 40.00</t>
  </si>
  <si>
    <t>L401 2 0 2 EACH 19.34 38.68 Trailing 
Extension 
Lead 
16amp 
110volt 
1.5mm 
Cable 
14m 
Long
FPPTL14ML</t>
  </si>
  <si>
    <t>R171 Steel 
Line 
Pin 
900mm 
x 
20mm 20 0 20 PAIR 3.66 73.20</t>
  </si>
  <si>
    <t>FSGOLD Delta 
GOLD2 
Safety 
Wellington 
S5 
SRC
SZ10 1 PAIR 24.83 24.83</t>
  </si>
  <si>
    <t>3 EA 39.67 27.37 160 X 110MM LEVEL INVERT TAPER
(20036016)</t>
  </si>
  <si>
    <t>1 EA 253.05 126.53 0504SP100100 100MM PERF COIL X 100M BLACK</t>
  </si>
  <si>
    <t>6 EA 4.00 11.52 0707CRC110 110MM DUCT COUPLING RCC110</t>
  </si>
  <si>
    <t>AMS</t>
  </si>
  <si>
    <t>202909 Uncarried Weight Charge - by the tonne 7.86 Tonne 4.00 31.44</t>
  </si>
  <si>
    <t>592.50 7.50 M3 READYMIX P250 ST2 (20MM) DELIVERED MIXER</t>
  </si>
  <si>
    <t>Lorry 14.5 hours - £382.50
Lorry 24.5 hours - £382.50
De-Stacking - £150.00
Stacking £150.00 382.50 382.50</t>
  </si>
  <si>
    <t>4.00 5.50 22.00 C32/40 CIIIA+SR 20mm S3 WRA DC 2
Minimum cement content: 320
Water cement ratio: 0.55</t>
  </si>
  <si>
    <t>38.40 tonnes @
13.10 per tonne 503.04 100.60</t>
  </si>
  <si>
    <t>2.00 EA 9.28 EA 18.56</t>
  </si>
  <si>
    <t>O C284 Deluxe 
Waistcoat 
c
/
w 
Pockets 
Yellow 
EN 
ISO 
20471 
Class 
2
:
2 
- 
S476 1 1 EACH 6.29 6.29</t>
  </si>
  <si>
    <t>X124 Mildren 
Construction 
Rear 
Logo 
3 
Colour 
98827WB 
(
CH
) 0 1 EACH 1.00 1.00</t>
  </si>
  <si>
    <t>box 
only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</si>
</sst>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3" borderId="0"/>
    <xf numFmtId="44" fontId="3" fillId="0" borderId="0"/>
    <xf numFmtId="0" fontId="4" fillId="0" borderId="0"/>
  </cellStyleXfs>
  <cellXfs count="1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2" fillId="3" borderId="0" xfId="1"/>
    <xf numFmtId="0" fontId="2" fillId="3" borderId="0" xfId="1" applyAlignment="1">
      <alignment wrapText="1"/>
    </xf>
    <xf numFmtId="0" fontId="0" fillId="0" borderId="0" xfId="0"/>
    <xf numFmtId="14" fontId="1" fillId="2" borderId="1" xfId="0" applyNumberFormat="1" applyFont="1" applyFill="1" applyBorder="1"/>
    <xf numFmtId="14" fontId="2" fillId="3" borderId="0" xfId="1" applyNumberFormat="1"/>
    <xf numFmtId="14" fontId="0" fillId="0" borderId="0" xfId="0" applyNumberFormat="1"/>
    <xf numFmtId="0" fontId="4" fillId="3" borderId="0" xfId="3" applyFill="1"/>
    <xf numFmtId="0" fontId="4" fillId="0" borderId="0" xfId="3"/>
    <xf numFmtId="0" fontId="0" fillId="0" borderId="0" xfId="0" applyAlignment="1">
      <alignment wrapText="1"/>
    </xf>
    <xf numFmtId="4" fontId="0" fillId="0" borderId="0" xfId="0" applyNumberFormat="1"/>
    <xf numFmtId="44" fontId="2" fillId="3" borderId="0" xfId="2" applyFont="1" applyFill="1"/>
    <xf numFmtId="44" fontId="0" fillId="0" borderId="0" xfId="2" applyFont="1"/>
    <xf numFmtId="44" fontId="3" fillId="0" borderId="0" xfId="2"/>
    <xf numFmtId="164" fontId="0" fillId="0" borderId="0" xfId="0" applyNumberFormat="1"/>
  </cellXfs>
  <cellStyles count="4">
    <cellStyle name="Currency" xfId="2" builtinId="4"/>
    <cellStyle name="Good" xfId="1" builtinId="26"/>
    <cellStyle name="Hyperlink" xfId="3" builtinId="8"/>
    <cellStyle name="Normal" xfId="0" builtinId="0"/>
  </cellStyles>
  <dxfs count="4"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G501" totalsRowShown="0" headerRowDxfId="3" headerRowBorderDxfId="2" tableBorderDxfId="1">
  <autoFilter ref="A1:G501" xr:uid="{00000000-0009-0000-0100-000001000000}">
    <filterColumn colId="1">
      <filters>
        <filter val="21787"/>
      </filters>
    </filterColumn>
  </autoFilter>
  <sortState xmlns:xlrd2="http://schemas.microsoft.com/office/spreadsheetml/2017/richdata2" ref="A2:G48">
    <sortCondition ref="B1:B48"/>
  </sortState>
  <tableColumns count="7">
    <tableColumn id="1" xr3:uid="{00000000-0010-0000-0000-000001000000}" name="Date" dataDxfId="0"/>
    <tableColumn id="2" xr3:uid="{00000000-0010-0000-0000-000002000000}" name="Contract"/>
    <tableColumn id="3" xr3:uid="{00000000-0010-0000-0000-000003000000}" name="Supplier"/>
    <tableColumn id="4" xr3:uid="{00000000-0010-0000-0000-000004000000}" name="Invoice No."/>
    <tableColumn id="5" xr3:uid="{00000000-0010-0000-0000-000005000000}" name="Hire /Purchase"/>
    <tableColumn id="6" xr3:uid="{00000000-0010-0000-0000-000006000000}" name="Item"/>
    <tableColumn id="7" xr3:uid="{00000000-0010-0000-0000-000007000000}" name="Invoice net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29"/>
  <sheetViews>
    <sheetView tabSelected="1" zoomScaleNormal="100" workbookViewId="0">
      <selection sqref="A1:G1"/>
    </sheetView>
  </sheetViews>
  <sheetFormatPr defaultRowHeight="15" x14ac:dyDescent="0.25"/>
  <cols>
    <col min="1" max="1" width="22.140625" style="9" customWidth="1"/>
    <col min="2" max="2" width="10.5703125" style="6" customWidth="1"/>
    <col min="3" max="3" width="41.7109375" style="6" customWidth="1"/>
    <col min="4" max="4" width="32.42578125" style="6" customWidth="1"/>
    <col min="5" max="5" width="16.140625" style="6" customWidth="1"/>
    <col min="6" max="6" width="67.5703125" style="6" customWidth="1"/>
    <col min="7" max="7" width="13" style="6" customWidth="1"/>
  </cols>
  <sheetData>
    <row r="1" spans="1:7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idden="1" x14ac:dyDescent="0.25">
      <c r="A2" s="8" t="s">
        <v>7</v>
      </c>
      <c r="B2" s="4" t="s">
        <v>8</v>
      </c>
      <c r="C2" s="4" t="s">
        <v>9</v>
      </c>
      <c r="D2" s="4" t="str">
        <f>HYPERLINK("PDF Output/21785/10 Dec 2021/E75204.pdf", "E75204")</f>
        <v>E75204</v>
      </c>
      <c r="E2" s="4" t="s">
        <v>10</v>
      </c>
      <c r="F2" s="4" t="s">
        <v>11</v>
      </c>
      <c r="G2" s="14" t="s">
        <v>12</v>
      </c>
    </row>
    <row r="3" spans="1:7" hidden="1" x14ac:dyDescent="0.25">
      <c r="A3" s="8" t="s">
        <v>7</v>
      </c>
      <c r="B3" s="4" t="s">
        <v>8</v>
      </c>
      <c r="C3" s="4" t="s">
        <v>9</v>
      </c>
      <c r="D3" s="4" t="str">
        <f>HYPERLINK("PDF Output/21785/10 Dec 2021/E75203.pdf", "E75203")</f>
        <v>E75203</v>
      </c>
      <c r="E3" s="4" t="s">
        <v>10</v>
      </c>
      <c r="F3" s="4" t="s">
        <v>13</v>
      </c>
      <c r="G3" s="14" t="s">
        <v>12</v>
      </c>
    </row>
    <row r="4" spans="1:7" hidden="1" x14ac:dyDescent="0.25">
      <c r="A4" s="8" t="s">
        <v>7</v>
      </c>
      <c r="B4" s="4" t="s">
        <v>8</v>
      </c>
      <c r="C4" s="4" t="s">
        <v>9</v>
      </c>
      <c r="D4" s="4" t="str">
        <f>HYPERLINK("PDF Output/21785/10 Dec 2021/E75202.pdf", "E75202")</f>
        <v>E75202</v>
      </c>
      <c r="E4" s="4" t="s">
        <v>10</v>
      </c>
      <c r="F4" s="4" t="s">
        <v>14</v>
      </c>
      <c r="G4" s="14" t="s">
        <v>15</v>
      </c>
    </row>
    <row r="5" spans="1:7" hidden="1" x14ac:dyDescent="0.25">
      <c r="A5" s="8" t="s">
        <v>7</v>
      </c>
      <c r="B5" s="4" t="s">
        <v>8</v>
      </c>
      <c r="C5" s="4" t="s">
        <v>9</v>
      </c>
      <c r="D5" s="4" t="str">
        <f>HYPERLINK("PDF Output/21785/10 Dec 2021/E75201.pdf", "E75201")</f>
        <v>E75201</v>
      </c>
      <c r="E5" s="4" t="s">
        <v>10</v>
      </c>
      <c r="F5" s="4" t="s">
        <v>16</v>
      </c>
      <c r="G5" s="14" t="s">
        <v>17</v>
      </c>
    </row>
    <row r="6" spans="1:7" hidden="1" x14ac:dyDescent="0.25">
      <c r="A6" s="8" t="s">
        <v>7</v>
      </c>
      <c r="B6" s="4" t="s">
        <v>8</v>
      </c>
      <c r="C6" s="4" t="s">
        <v>9</v>
      </c>
      <c r="D6" s="4" t="str">
        <f>HYPERLINK("PDF Output/21785/10 Dec 2021/E75185.pdf", "E75185")</f>
        <v>E75185</v>
      </c>
      <c r="E6" s="4" t="s">
        <v>18</v>
      </c>
      <c r="F6" s="4" t="s">
        <v>19</v>
      </c>
      <c r="G6" s="14" t="s">
        <v>20</v>
      </c>
    </row>
    <row r="7" spans="1:7" hidden="1" x14ac:dyDescent="0.25">
      <c r="A7" s="9" t="s">
        <v>21</v>
      </c>
      <c r="B7" t="s">
        <v>22</v>
      </c>
      <c r="C7" t="s">
        <v>23</v>
      </c>
      <c r="D7" t="str">
        <f>HYPERLINK("PDF Output/21797/12 Dec 2021/4 651079.pdf", "4/651079")</f>
        <v>4/651079</v>
      </c>
      <c r="E7" t="s">
        <v>18</v>
      </c>
      <c r="F7" t="s">
        <v>24</v>
      </c>
      <c r="G7" s="15" t="s">
        <v>25</v>
      </c>
    </row>
    <row r="8" spans="1:7" hidden="1" x14ac:dyDescent="0.25">
      <c r="A8" s="9" t="s">
        <v>26</v>
      </c>
      <c r="B8" t="s">
        <v>27</v>
      </c>
      <c r="C8" t="s">
        <v>28</v>
      </c>
      <c r="D8" t="str">
        <f>HYPERLINK("PDF Output/21796/09 Dec 2021/1546298.pdf", "1546298")</f>
        <v>1546298</v>
      </c>
      <c r="E8" t="s">
        <v>10</v>
      </c>
      <c r="F8" t="s">
        <v>29</v>
      </c>
      <c r="G8" s="15" t="s">
        <v>30</v>
      </c>
    </row>
    <row r="9" spans="1:7" hidden="1" x14ac:dyDescent="0.25">
      <c r="A9" s="9" t="s">
        <v>26</v>
      </c>
      <c r="B9" t="s">
        <v>27</v>
      </c>
      <c r="C9" t="s">
        <v>28</v>
      </c>
      <c r="D9" t="str">
        <f>HYPERLINK("PDF Output/21796/09 Dec 2021/1546299.pdf", "1546299")</f>
        <v>1546299</v>
      </c>
      <c r="E9" t="s">
        <v>10</v>
      </c>
      <c r="F9" t="s">
        <v>31</v>
      </c>
      <c r="G9" s="15" t="s">
        <v>30</v>
      </c>
    </row>
    <row r="10" spans="1:7" hidden="1" x14ac:dyDescent="0.25">
      <c r="A10" s="9" t="s">
        <v>26</v>
      </c>
      <c r="B10" t="s">
        <v>27</v>
      </c>
      <c r="C10" t="s">
        <v>28</v>
      </c>
      <c r="D10" t="str">
        <f>HYPERLINK("PDF Output/21796/09 Dec 2021/1546300.pdf", "1546300")</f>
        <v>1546300</v>
      </c>
      <c r="E10" t="s">
        <v>10</v>
      </c>
      <c r="F10" t="s">
        <v>32</v>
      </c>
      <c r="G10" s="15" t="s">
        <v>30</v>
      </c>
    </row>
    <row r="11" spans="1:7" hidden="1" x14ac:dyDescent="0.25">
      <c r="A11" s="9" t="s">
        <v>33</v>
      </c>
      <c r="B11" t="s">
        <v>27</v>
      </c>
      <c r="C11" t="s">
        <v>34</v>
      </c>
      <c r="D11" t="str">
        <f>HYPERLINK("PDF Output/21796/11 Dec 2021/1984959813.pdf", "1984959813")</f>
        <v>1984959813</v>
      </c>
      <c r="E11" t="s">
        <v>10</v>
      </c>
      <c r="F11" t="s">
        <v>35</v>
      </c>
      <c r="G11" s="15">
        <v>882</v>
      </c>
    </row>
    <row r="12" spans="1:7" hidden="1" x14ac:dyDescent="0.25">
      <c r="A12" s="9" t="s">
        <v>33</v>
      </c>
      <c r="B12" t="s">
        <v>27</v>
      </c>
      <c r="C12" t="s">
        <v>34</v>
      </c>
      <c r="D12" t="str">
        <f>HYPERLINK("PDF Output/21796/11 Dec 2021/1984959811.pdf", "1984959811")</f>
        <v>1984959811</v>
      </c>
      <c r="E12" t="s">
        <v>10</v>
      </c>
      <c r="F12" t="s">
        <v>36</v>
      </c>
      <c r="G12" s="15" t="s">
        <v>37</v>
      </c>
    </row>
    <row r="13" spans="1:7" ht="30" hidden="1" customHeight="1" x14ac:dyDescent="0.25">
      <c r="A13" s="8" t="s">
        <v>38</v>
      </c>
      <c r="B13" s="4" t="s">
        <v>8</v>
      </c>
      <c r="C13" s="5" t="s">
        <v>39</v>
      </c>
      <c r="D13" s="4" t="str">
        <f>HYPERLINK("PDF Output/21785/07 Dec 2021/-
INV
-
CRD.pdf", "INV")</f>
        <v>INV</v>
      </c>
      <c r="E13" s="4" t="s">
        <v>10</v>
      </c>
      <c r="F13" s="4" t="s">
        <v>40</v>
      </c>
      <c r="G13" s="14" t="s">
        <v>41</v>
      </c>
    </row>
    <row r="14" spans="1:7" hidden="1" x14ac:dyDescent="0.25">
      <c r="A14" s="8" t="s">
        <v>7</v>
      </c>
      <c r="B14" s="4" t="s">
        <v>8</v>
      </c>
      <c r="C14" s="4" t="s">
        <v>42</v>
      </c>
      <c r="D14" s="4" t="str">
        <f>HYPERLINK("PDF Output/21785/10 Dec 2021/1260542.pdf", "1260542")</f>
        <v>1260542</v>
      </c>
      <c r="E14" s="4" t="s">
        <v>10</v>
      </c>
      <c r="F14" s="4" t="s">
        <v>43</v>
      </c>
      <c r="G14" s="14" t="s">
        <v>30</v>
      </c>
    </row>
    <row r="15" spans="1:7" hidden="1" x14ac:dyDescent="0.25">
      <c r="A15" s="8" t="s">
        <v>44</v>
      </c>
      <c r="B15" s="4" t="s">
        <v>8</v>
      </c>
      <c r="C15" s="4" t="s">
        <v>45</v>
      </c>
      <c r="D15" s="4" t="str">
        <f>HYPERLINK("PDF Output/21785/13 Dec 2021/8286119.pdf", "8286119")</f>
        <v>8286119</v>
      </c>
      <c r="E15" s="4" t="s">
        <v>18</v>
      </c>
      <c r="F15" s="4" t="s">
        <v>46</v>
      </c>
      <c r="G15" s="14" t="s">
        <v>47</v>
      </c>
    </row>
    <row r="16" spans="1:7" hidden="1" x14ac:dyDescent="0.25">
      <c r="A16" s="9" t="s">
        <v>44</v>
      </c>
      <c r="B16" t="s">
        <v>27</v>
      </c>
      <c r="C16" t="s">
        <v>48</v>
      </c>
      <c r="D16" t="str">
        <f>HYPERLINK("PDF Output/21796/13 Dec 2021/126493.pdf", "126493")</f>
        <v>126493</v>
      </c>
      <c r="E16" t="s">
        <v>18</v>
      </c>
      <c r="F16" t="s">
        <v>49</v>
      </c>
      <c r="G16" s="15" t="s">
        <v>50</v>
      </c>
    </row>
    <row r="17" spans="1:7" hidden="1" x14ac:dyDescent="0.25">
      <c r="A17" s="9" t="s">
        <v>21</v>
      </c>
      <c r="B17" t="s">
        <v>27</v>
      </c>
      <c r="C17" t="s">
        <v>51</v>
      </c>
      <c r="D17" t="str">
        <f>HYPERLINK("PDF Output/21796/12 Dec 2021/477205.pdf", "477205")</f>
        <v>477205</v>
      </c>
      <c r="E17" t="s">
        <v>10</v>
      </c>
      <c r="F17" t="s">
        <v>52</v>
      </c>
      <c r="G17" s="15" t="s">
        <v>53</v>
      </c>
    </row>
    <row r="18" spans="1:7" hidden="1" x14ac:dyDescent="0.25">
      <c r="A18" s="9" t="s">
        <v>54</v>
      </c>
      <c r="B18" t="s">
        <v>27</v>
      </c>
      <c r="C18" t="s">
        <v>28</v>
      </c>
      <c r="D18" t="str">
        <f>HYPERLINK("PDF Output/21796/06 Dec 2021/1543174.pdf", "1543174")</f>
        <v>1543174</v>
      </c>
      <c r="E18" t="s">
        <v>10</v>
      </c>
      <c r="F18" t="s">
        <v>55</v>
      </c>
      <c r="G18" s="15" t="s">
        <v>30</v>
      </c>
    </row>
    <row r="19" spans="1:7" hidden="1" x14ac:dyDescent="0.25">
      <c r="A19" s="9" t="s">
        <v>54</v>
      </c>
      <c r="B19" t="s">
        <v>27</v>
      </c>
      <c r="C19" t="s">
        <v>28</v>
      </c>
      <c r="D19" t="str">
        <f>HYPERLINK("PDF Output/21796/06 Dec 2021/1544086.pdf", "1544086")</f>
        <v>1544086</v>
      </c>
      <c r="E19" t="s">
        <v>10</v>
      </c>
      <c r="F19" t="s">
        <v>56</v>
      </c>
      <c r="G19" s="15" t="s">
        <v>30</v>
      </c>
    </row>
    <row r="20" spans="1:7" hidden="1" x14ac:dyDescent="0.25">
      <c r="A20" s="9" t="s">
        <v>38</v>
      </c>
      <c r="B20" t="s">
        <v>27</v>
      </c>
      <c r="C20" t="s">
        <v>28</v>
      </c>
      <c r="D20" t="str">
        <f>HYPERLINK("PDF Output/21796/07 Dec 2021/1544094.pdf", "1544094")</f>
        <v>1544094</v>
      </c>
      <c r="E20" t="s">
        <v>10</v>
      </c>
      <c r="F20" t="s">
        <v>57</v>
      </c>
      <c r="G20" s="15" t="s">
        <v>30</v>
      </c>
    </row>
    <row r="21" spans="1:7" x14ac:dyDescent="0.25">
      <c r="A21" s="9" t="s">
        <v>7</v>
      </c>
      <c r="B21" t="s">
        <v>58</v>
      </c>
      <c r="C21" t="s">
        <v>59</v>
      </c>
      <c r="D21" t="str">
        <f>HYPERLINK("PDF Output/21787/10 Dec 2021/A9797.pdf", "A9797")</f>
        <v>A9797</v>
      </c>
      <c r="E21" t="s">
        <v>10</v>
      </c>
      <c r="F21" t="s">
        <v>60</v>
      </c>
      <c r="G21" s="15" t="s">
        <v>61</v>
      </c>
    </row>
    <row r="22" spans="1:7" hidden="1" x14ac:dyDescent="0.25">
      <c r="A22" s="9" t="s">
        <v>62</v>
      </c>
      <c r="B22" t="s">
        <v>63</v>
      </c>
      <c r="C22" t="s">
        <v>64</v>
      </c>
      <c r="D22" t="str">
        <f>HYPERLINK("PDF Output/20770/03 Nov 2021/4933295.pdf", "4933295")</f>
        <v>4933295</v>
      </c>
      <c r="E22" t="s">
        <v>10</v>
      </c>
      <c r="F22" t="s">
        <v>65</v>
      </c>
      <c r="G22" s="15" t="s">
        <v>66</v>
      </c>
    </row>
    <row r="23" spans="1:7" x14ac:dyDescent="0.25">
      <c r="A23" s="9" t="s">
        <v>67</v>
      </c>
      <c r="B23" t="s">
        <v>58</v>
      </c>
      <c r="C23" t="s">
        <v>68</v>
      </c>
      <c r="D23" t="str">
        <f>HYPERLINK("PDF Output/21787/14 Dec 2021/A9845.pdf", "A9845")</f>
        <v>A9845</v>
      </c>
      <c r="E23" t="s">
        <v>10</v>
      </c>
      <c r="F23" t="s">
        <v>69</v>
      </c>
      <c r="G23" s="15" t="s">
        <v>70</v>
      </c>
    </row>
    <row r="24" spans="1:7" x14ac:dyDescent="0.25">
      <c r="A24" s="9" t="s">
        <v>7</v>
      </c>
      <c r="B24" t="s">
        <v>58</v>
      </c>
      <c r="C24" t="s">
        <v>71</v>
      </c>
      <c r="D24" t="str">
        <f>HYPERLINK("PDF Output/21787/10 Dec 2021/A9796.pdf", "A9796")</f>
        <v>A9796</v>
      </c>
      <c r="E24" t="s">
        <v>10</v>
      </c>
      <c r="F24" t="s">
        <v>72</v>
      </c>
      <c r="G24" s="15" t="s">
        <v>73</v>
      </c>
    </row>
    <row r="25" spans="1:7" hidden="1" x14ac:dyDescent="0.25">
      <c r="A25" s="8" t="s">
        <v>7</v>
      </c>
      <c r="B25" s="4" t="s">
        <v>8</v>
      </c>
      <c r="C25" s="4" t="s">
        <v>42</v>
      </c>
      <c r="D25" s="4" t="str">
        <f>HYPERLINK("PDF Output/21785/10 Dec 2021/956630.pdf", "956630")</f>
        <v>956630</v>
      </c>
      <c r="E25" s="4" t="s">
        <v>10</v>
      </c>
      <c r="F25" s="4" t="s">
        <v>74</v>
      </c>
      <c r="G25" s="14" t="s">
        <v>75</v>
      </c>
    </row>
    <row r="26" spans="1:7" hidden="1" x14ac:dyDescent="0.25">
      <c r="A26" s="8" t="s">
        <v>7</v>
      </c>
      <c r="B26" s="4" t="s">
        <v>8</v>
      </c>
      <c r="C26" s="4" t="s">
        <v>76</v>
      </c>
      <c r="D26" s="4" t="str">
        <f>HYPERLINK("PDF Output/21785/10 Dec 2021/7300356178.pdf", "7300356178")</f>
        <v>7300356178</v>
      </c>
      <c r="E26" s="4" t="s">
        <v>10</v>
      </c>
      <c r="F26" s="4" t="s">
        <v>77</v>
      </c>
      <c r="G26" s="14" t="s">
        <v>78</v>
      </c>
    </row>
    <row r="27" spans="1:7" hidden="1" x14ac:dyDescent="0.25">
      <c r="A27" s="8" t="s">
        <v>44</v>
      </c>
      <c r="B27" s="4" t="s">
        <v>27</v>
      </c>
      <c r="C27" s="4" t="s">
        <v>79</v>
      </c>
      <c r="D27" s="4" t="str">
        <f>HYPERLINK("PDF Output/21796/13 Dec 2021/329890.pdf", "329890")</f>
        <v>329890</v>
      </c>
      <c r="E27" s="4" t="s">
        <v>10</v>
      </c>
      <c r="F27" s="4" t="s">
        <v>80</v>
      </c>
      <c r="G27" s="14" t="s">
        <v>81</v>
      </c>
    </row>
    <row r="28" spans="1:7" hidden="1" x14ac:dyDescent="0.25">
      <c r="A28" s="8" t="s">
        <v>44</v>
      </c>
      <c r="B28" s="4" t="s">
        <v>27</v>
      </c>
      <c r="C28" s="4" t="s">
        <v>82</v>
      </c>
      <c r="D28" s="4" t="str">
        <f>HYPERLINK("PDF Output/21796/13 Dec 2021/FAH 329883.pdf", "FAH/329883")</f>
        <v>FAH/329883</v>
      </c>
      <c r="E28" s="4" t="s">
        <v>10</v>
      </c>
      <c r="F28" s="4" t="s">
        <v>83</v>
      </c>
      <c r="G28" s="14" t="s">
        <v>84</v>
      </c>
    </row>
    <row r="29" spans="1:7" hidden="1" x14ac:dyDescent="0.25">
      <c r="A29" s="8" t="s">
        <v>85</v>
      </c>
      <c r="B29" s="4" t="s">
        <v>27</v>
      </c>
      <c r="C29" s="4" t="s">
        <v>86</v>
      </c>
      <c r="D29" s="4" t="str">
        <f>HYPERLINK("PDF Output/21796/15 Dec 2021/80SI 12025.pdf", "80SI/12025")</f>
        <v>80SI/12025</v>
      </c>
      <c r="E29" s="4" t="s">
        <v>18</v>
      </c>
      <c r="F29" s="4" t="s">
        <v>87</v>
      </c>
      <c r="G29" s="14" t="s">
        <v>88</v>
      </c>
    </row>
    <row r="30" spans="1:7" x14ac:dyDescent="0.25">
      <c r="A30" s="8" t="s">
        <v>85</v>
      </c>
      <c r="B30" s="4" t="s">
        <v>58</v>
      </c>
      <c r="C30" s="4" t="s">
        <v>89</v>
      </c>
      <c r="D30" s="4" t="str">
        <f>HYPERLINK("PDF Output/21787/15 Dec 2021/102123.pdf", "102123")</f>
        <v>102123</v>
      </c>
      <c r="E30" s="4" t="s">
        <v>10</v>
      </c>
      <c r="F30" s="4" t="s">
        <v>90</v>
      </c>
      <c r="G30" s="14" t="s">
        <v>91</v>
      </c>
    </row>
    <row r="31" spans="1:7" hidden="1" x14ac:dyDescent="0.25">
      <c r="A31" s="8" t="s">
        <v>92</v>
      </c>
      <c r="B31" s="4" t="s">
        <v>93</v>
      </c>
      <c r="C31" s="4" t="s">
        <v>94</v>
      </c>
      <c r="D31" s="4" t="str">
        <f>HYPERLINK("PDF Output/21781/03 Dec 2021/41827.pdf", "41827")</f>
        <v>41827</v>
      </c>
      <c r="E31" s="4" t="s">
        <v>10</v>
      </c>
      <c r="F31" s="4" t="s">
        <v>95</v>
      </c>
      <c r="G31" s="14" t="s">
        <v>96</v>
      </c>
    </row>
    <row r="32" spans="1:7" hidden="1" x14ac:dyDescent="0.25">
      <c r="A32" s="8" t="s">
        <v>92</v>
      </c>
      <c r="B32" s="4" t="s">
        <v>93</v>
      </c>
      <c r="C32" s="4" t="s">
        <v>94</v>
      </c>
      <c r="D32" s="4" t="str">
        <f>HYPERLINK("PDF Output/21781/03 Dec 2021/41876.pdf", "41876")</f>
        <v>41876</v>
      </c>
      <c r="E32" s="4" t="s">
        <v>10</v>
      </c>
      <c r="F32" s="4" t="s">
        <v>97</v>
      </c>
      <c r="G32" s="14" t="s">
        <v>98</v>
      </c>
    </row>
    <row r="33" spans="1:7" hidden="1" x14ac:dyDescent="0.25">
      <c r="A33" s="8" t="s">
        <v>92</v>
      </c>
      <c r="B33" s="4" t="s">
        <v>93</v>
      </c>
      <c r="C33" s="4" t="s">
        <v>94</v>
      </c>
      <c r="D33" s="4" t="str">
        <f>HYPERLINK("PDF Output/21781/03 Dec 2021/41825.pdf", "41825")</f>
        <v>41825</v>
      </c>
      <c r="E33" s="4" t="s">
        <v>10</v>
      </c>
      <c r="F33" s="4" t="s">
        <v>99</v>
      </c>
      <c r="G33" s="16" t="s">
        <v>100</v>
      </c>
    </row>
    <row r="34" spans="1:7" hidden="1" x14ac:dyDescent="0.25">
      <c r="A34" s="8" t="s">
        <v>101</v>
      </c>
      <c r="B34" s="4" t="s">
        <v>102</v>
      </c>
      <c r="C34" s="4" t="s">
        <v>94</v>
      </c>
      <c r="D34" s="4" t="str">
        <f>HYPERLINK("PDF Output/21786/01 Dec 2021/21786 24059.pdf", "21786/24059")</f>
        <v>21786/24059</v>
      </c>
      <c r="E34" s="4" t="s">
        <v>10</v>
      </c>
      <c r="F34" s="4" t="s">
        <v>95</v>
      </c>
      <c r="G34" s="16" t="s">
        <v>103</v>
      </c>
    </row>
    <row r="35" spans="1:7" x14ac:dyDescent="0.25">
      <c r="A35" s="8" t="s">
        <v>101</v>
      </c>
      <c r="B35" s="4" t="s">
        <v>58</v>
      </c>
      <c r="C35" s="4" t="s">
        <v>82</v>
      </c>
      <c r="D35" s="4" t="str">
        <f>HYPERLINK("PDF Output/21787/01 Dec 2021/21787 24423.pdf", "21787/24423")</f>
        <v>21787/24423</v>
      </c>
      <c r="E35" s="4" t="s">
        <v>10</v>
      </c>
      <c r="F35" s="4" t="s">
        <v>104</v>
      </c>
      <c r="G35" s="16" t="s">
        <v>105</v>
      </c>
    </row>
    <row r="36" spans="1:7" hidden="1" x14ac:dyDescent="0.25">
      <c r="A36" s="8" t="s">
        <v>85</v>
      </c>
      <c r="B36" s="4" t="s">
        <v>102</v>
      </c>
      <c r="C36" s="4" t="s">
        <v>106</v>
      </c>
      <c r="D36" s="4" t="str">
        <f>HYPERLINK("PDF Output/21786/15 Dec 2021/INV
-
1125.pdf", "INV
-
1125")</f>
        <v>INV
-
1125</v>
      </c>
      <c r="E36" s="4" t="s">
        <v>18</v>
      </c>
      <c r="F36" s="4" t="s">
        <v>107</v>
      </c>
      <c r="G36" s="16" t="s">
        <v>108</v>
      </c>
    </row>
    <row r="37" spans="1:7" hidden="1" x14ac:dyDescent="0.25">
      <c r="A37" s="8" t="s">
        <v>85</v>
      </c>
      <c r="B37" s="4" t="s">
        <v>109</v>
      </c>
      <c r="C37" s="4" t="s">
        <v>106</v>
      </c>
      <c r="D37" s="4" t="str">
        <f>HYPERLINK("PDF Output/20768/15 Dec 2021/INV
-
1126.pdf", "INV
-
1126")</f>
        <v>INV
-
1126</v>
      </c>
      <c r="E37" s="4" t="s">
        <v>10</v>
      </c>
      <c r="F37" s="4" t="s">
        <v>110</v>
      </c>
      <c r="G37" s="16" t="s">
        <v>111</v>
      </c>
    </row>
    <row r="38" spans="1:7" hidden="1" x14ac:dyDescent="0.25">
      <c r="A38" s="8" t="s">
        <v>85</v>
      </c>
      <c r="B38" s="4" t="s">
        <v>93</v>
      </c>
      <c r="C38" s="4" t="s">
        <v>89</v>
      </c>
      <c r="D38" s="4" t="str">
        <f>HYPERLINK("PDF Output/21781/15 Dec 2021/102148.pdf", "102148")</f>
        <v>102148</v>
      </c>
      <c r="E38" s="4" t="s">
        <v>10</v>
      </c>
      <c r="F38" s="4" t="s">
        <v>112</v>
      </c>
      <c r="G38" s="16" t="s">
        <v>113</v>
      </c>
    </row>
    <row r="39" spans="1:7" x14ac:dyDescent="0.25">
      <c r="A39" s="8" t="s">
        <v>85</v>
      </c>
      <c r="B39" s="4" t="s">
        <v>58</v>
      </c>
      <c r="C39" s="4" t="s">
        <v>114</v>
      </c>
      <c r="D39" s="4" t="str">
        <f>HYPERLINK("PDF Output/21787/15 Dec 2021/40790 21787.pdf", "40790/21787")</f>
        <v>40790/21787</v>
      </c>
      <c r="E39" s="4" t="s">
        <v>10</v>
      </c>
      <c r="F39" s="4" t="s">
        <v>115</v>
      </c>
      <c r="G39" s="16">
        <v>30</v>
      </c>
    </row>
    <row r="40" spans="1:7" hidden="1" x14ac:dyDescent="0.25">
      <c r="A40" s="8" t="s">
        <v>85</v>
      </c>
      <c r="B40" s="4" t="s">
        <v>93</v>
      </c>
      <c r="C40" s="4" t="s">
        <v>116</v>
      </c>
      <c r="D40" s="4" t="str">
        <f>HYPERLINK("PDF Output/21781/15 Dec 2021/102122.pdf", "102122")</f>
        <v>102122</v>
      </c>
      <c r="E40" s="4" t="s">
        <v>10</v>
      </c>
      <c r="F40" s="4" t="s">
        <v>117</v>
      </c>
      <c r="G40" s="16" t="s">
        <v>118</v>
      </c>
    </row>
    <row r="41" spans="1:7" x14ac:dyDescent="0.25">
      <c r="A41" s="8" t="s">
        <v>7</v>
      </c>
      <c r="B41" s="4" t="s">
        <v>58</v>
      </c>
      <c r="C41" s="4" t="s">
        <v>119</v>
      </c>
      <c r="D41" s="4" t="str">
        <f>HYPERLINK("PDF Output/21787/10 Dec 2021/A9798.pdf", "A9798")</f>
        <v>A9798</v>
      </c>
      <c r="E41" s="4" t="s">
        <v>10</v>
      </c>
      <c r="F41" s="4" t="s">
        <v>120</v>
      </c>
      <c r="G41" s="16" t="s">
        <v>121</v>
      </c>
    </row>
    <row r="42" spans="1:7" hidden="1" x14ac:dyDescent="0.25">
      <c r="A42" s="8" t="s">
        <v>67</v>
      </c>
      <c r="B42" s="4" t="s">
        <v>93</v>
      </c>
      <c r="C42" s="4" t="s">
        <v>122</v>
      </c>
      <c r="D42" s="4" t="str">
        <f>HYPERLINK("PDF Output/21781/14 Dec 2021/91628.pdf", "91628")</f>
        <v>91628</v>
      </c>
      <c r="E42" s="4" t="s">
        <v>10</v>
      </c>
      <c r="F42" s="4" t="s">
        <v>123</v>
      </c>
      <c r="G42" s="16" t="s">
        <v>124</v>
      </c>
    </row>
    <row r="43" spans="1:7" hidden="1" x14ac:dyDescent="0.25">
      <c r="A43" s="8" t="s">
        <v>44</v>
      </c>
      <c r="B43" s="4" t="s">
        <v>102</v>
      </c>
      <c r="C43" s="4" t="s">
        <v>125</v>
      </c>
      <c r="D43" s="4" t="str">
        <f>HYPERLINK("PDF Output/21786/13 Dec 2021/16112822.pdf", "16112822")</f>
        <v>16112822</v>
      </c>
      <c r="E43" s="4" t="s">
        <v>10</v>
      </c>
      <c r="F43" s="4" t="s">
        <v>126</v>
      </c>
      <c r="G43" s="16" t="s">
        <v>127</v>
      </c>
    </row>
    <row r="44" spans="1:7" x14ac:dyDescent="0.25">
      <c r="A44" s="8" t="s">
        <v>26</v>
      </c>
      <c r="B44" s="4" t="s">
        <v>58</v>
      </c>
      <c r="C44" s="4" t="s">
        <v>128</v>
      </c>
      <c r="D44" s="4" t="str">
        <f>HYPERLINK("PDF Output/21787/09 Dec 2021/6553892.pdf", "6553892")</f>
        <v>6553892</v>
      </c>
      <c r="E44" s="4" t="s">
        <v>18</v>
      </c>
      <c r="F44" s="4" t="s">
        <v>129</v>
      </c>
      <c r="G44" s="16">
        <v>301</v>
      </c>
    </row>
    <row r="45" spans="1:7" x14ac:dyDescent="0.25">
      <c r="A45" s="8" t="s">
        <v>7</v>
      </c>
      <c r="B45" s="4" t="s">
        <v>58</v>
      </c>
      <c r="C45" s="4" t="s">
        <v>94</v>
      </c>
      <c r="D45" s="4" t="str">
        <f>HYPERLINK("PDF Output/21787/10 Dec 2021/21787 24430.pdf", "21787/24430")</f>
        <v>21787/24430</v>
      </c>
      <c r="E45" s="4" t="s">
        <v>10</v>
      </c>
      <c r="F45" s="4" t="s">
        <v>95</v>
      </c>
      <c r="G45" s="16" t="s">
        <v>130</v>
      </c>
    </row>
    <row r="46" spans="1:7" hidden="1" x14ac:dyDescent="0.25">
      <c r="A46" s="8" t="s">
        <v>26</v>
      </c>
      <c r="B46" s="4" t="s">
        <v>93</v>
      </c>
      <c r="C46" s="4" t="s">
        <v>94</v>
      </c>
      <c r="D46" s="4" t="str">
        <f>HYPERLINK("PDF Output/21781/09 Dec 2021/41871 21781.pdf", "41871/21781")</f>
        <v>41871/21781</v>
      </c>
      <c r="E46" s="4" t="s">
        <v>10</v>
      </c>
      <c r="F46" s="4" t="s">
        <v>95</v>
      </c>
      <c r="G46" s="16" t="s">
        <v>131</v>
      </c>
    </row>
    <row r="47" spans="1:7" hidden="1" x14ac:dyDescent="0.25">
      <c r="A47" s="8" t="s">
        <v>38</v>
      </c>
      <c r="B47" s="4" t="s">
        <v>93</v>
      </c>
      <c r="C47" s="4" t="s">
        <v>94</v>
      </c>
      <c r="D47" s="4" t="str">
        <f>HYPERLINK("PDF Output/21781/07 Dec 2021/41827 21781.pdf", "41827/21781")</f>
        <v>41827/21781</v>
      </c>
      <c r="E47" s="4" t="s">
        <v>10</v>
      </c>
      <c r="F47" s="4" t="s">
        <v>97</v>
      </c>
      <c r="G47" s="16" t="s">
        <v>132</v>
      </c>
    </row>
    <row r="48" spans="1:7" hidden="1" x14ac:dyDescent="0.25">
      <c r="A48" s="8" t="s">
        <v>85</v>
      </c>
      <c r="B48" s="4" t="s">
        <v>8</v>
      </c>
      <c r="C48" s="4" t="s">
        <v>133</v>
      </c>
      <c r="D48" s="4" t="str">
        <f>HYPERLINK("PDF Output/21785/15 Dec 2021/1000520495.pdf", "1000520495")</f>
        <v>1000520495</v>
      </c>
      <c r="E48" s="4" t="s">
        <v>10</v>
      </c>
      <c r="F48" s="4" t="s">
        <v>134</v>
      </c>
      <c r="G48" s="16" t="s">
        <v>134</v>
      </c>
    </row>
    <row r="49" spans="1:7" hidden="1" x14ac:dyDescent="0.25">
      <c r="A49" s="8" t="s">
        <v>7</v>
      </c>
      <c r="B49" s="4" t="s">
        <v>8</v>
      </c>
      <c r="C49" s="4" t="s">
        <v>135</v>
      </c>
      <c r="D49" s="4" t="str">
        <f>HYPERLINK("PDF Output/21785/10 Dec 2021/SW8826.pdf", "SW8826")</f>
        <v>SW8826</v>
      </c>
      <c r="E49" s="4" t="s">
        <v>10</v>
      </c>
      <c r="F49" s="4" t="s">
        <v>136</v>
      </c>
      <c r="G49" s="16" t="s">
        <v>137</v>
      </c>
    </row>
    <row r="50" spans="1:7" hidden="1" x14ac:dyDescent="0.25">
      <c r="A50" s="8" t="s">
        <v>85</v>
      </c>
      <c r="B50" s="4" t="s">
        <v>27</v>
      </c>
      <c r="C50" s="4" t="s">
        <v>138</v>
      </c>
      <c r="D50" s="4" t="str">
        <f>HYPERLINK("PDF Output/21796/15 Dec 2021/167525.pdf", "167525")</f>
        <v>167525</v>
      </c>
      <c r="E50" s="4" t="s">
        <v>18</v>
      </c>
      <c r="F50" s="4" t="s">
        <v>139</v>
      </c>
      <c r="G50" s="16" t="s">
        <v>140</v>
      </c>
    </row>
    <row r="51" spans="1:7" hidden="1" x14ac:dyDescent="0.25">
      <c r="A51" s="8" t="s">
        <v>141</v>
      </c>
      <c r="B51" s="4" t="s">
        <v>27</v>
      </c>
      <c r="C51" s="4" t="s">
        <v>142</v>
      </c>
      <c r="D51" s="4" t="str">
        <f>HYPERLINK("PDF Output/21796/16 Dec 2021/21796 24543.pdf", "21796/24543")</f>
        <v>21796/24543</v>
      </c>
      <c r="E51" s="4" t="s">
        <v>18</v>
      </c>
      <c r="F51" s="4" t="s">
        <v>143</v>
      </c>
      <c r="G51" s="16" t="s">
        <v>144</v>
      </c>
    </row>
    <row r="52" spans="1:7" hidden="1" x14ac:dyDescent="0.25">
      <c r="A52" s="9" t="s">
        <v>85</v>
      </c>
      <c r="B52" t="s">
        <v>27</v>
      </c>
      <c r="C52" t="s">
        <v>34</v>
      </c>
      <c r="D52" t="str">
        <f>HYPERLINK("PDF Output/21796/15 Dec 2021/1984967059.pdf", "1984967059")</f>
        <v>1984967059</v>
      </c>
      <c r="E52" t="s">
        <v>10</v>
      </c>
      <c r="F52" t="s">
        <v>145</v>
      </c>
      <c r="G52" s="16" t="s">
        <v>146</v>
      </c>
    </row>
    <row r="53" spans="1:7" hidden="1" x14ac:dyDescent="0.25">
      <c r="A53" s="8" t="s">
        <v>44</v>
      </c>
      <c r="B53" s="4" t="s">
        <v>8</v>
      </c>
      <c r="C53" s="4" t="s">
        <v>147</v>
      </c>
      <c r="D53" s="4" t="str">
        <f>HYPERLINK("PDF Output/21785/13 Dec 2021/0618 S06599.pdf", "0618 S06599")</f>
        <v>0618 S06599</v>
      </c>
      <c r="E53" s="4" t="s">
        <v>10</v>
      </c>
      <c r="F53" s="4" t="s">
        <v>148</v>
      </c>
      <c r="G53" s="16" t="s">
        <v>149</v>
      </c>
    </row>
    <row r="54" spans="1:7" hidden="1" x14ac:dyDescent="0.25">
      <c r="A54" s="8" t="s">
        <v>44</v>
      </c>
      <c r="B54" s="4" t="s">
        <v>8</v>
      </c>
      <c r="C54" s="4" t="s">
        <v>147</v>
      </c>
      <c r="D54" s="4" t="str">
        <f>HYPERLINK("PDF Output/21785/13 Dec 2021/0618 S06589.pdf", "0618 S06589")</f>
        <v>0618 S06589</v>
      </c>
      <c r="E54" s="4" t="s">
        <v>10</v>
      </c>
      <c r="F54" s="4" t="s">
        <v>150</v>
      </c>
      <c r="G54" s="16" t="s">
        <v>151</v>
      </c>
    </row>
    <row r="55" spans="1:7" hidden="1" x14ac:dyDescent="0.25">
      <c r="A55" s="8" t="s">
        <v>44</v>
      </c>
      <c r="B55" s="4" t="s">
        <v>8</v>
      </c>
      <c r="C55" s="4" t="s">
        <v>147</v>
      </c>
      <c r="D55" s="4" t="str">
        <f>HYPERLINK("PDF Output/21785/13 Dec 2021/0618 S06562.pdf", "0618 S06562")</f>
        <v>0618 S06562</v>
      </c>
      <c r="E55" s="4" t="s">
        <v>10</v>
      </c>
      <c r="F55" s="4" t="s">
        <v>152</v>
      </c>
      <c r="G55" s="16" t="s">
        <v>153</v>
      </c>
    </row>
    <row r="56" spans="1:7" hidden="1" x14ac:dyDescent="0.25">
      <c r="A56" s="9" t="s">
        <v>7</v>
      </c>
      <c r="B56" t="s">
        <v>27</v>
      </c>
      <c r="C56" t="s">
        <v>154</v>
      </c>
      <c r="D56" t="str">
        <f>HYPERLINK("PDF Output/21796/10 Dec 2021/S18167428.pdf", "S18167428")</f>
        <v>S18167428</v>
      </c>
      <c r="E56" t="s">
        <v>18</v>
      </c>
      <c r="F56" t="s">
        <v>155</v>
      </c>
      <c r="G56" s="16" t="s">
        <v>156</v>
      </c>
    </row>
    <row r="57" spans="1:7" hidden="1" x14ac:dyDescent="0.25">
      <c r="A57" s="9" t="s">
        <v>85</v>
      </c>
      <c r="B57" t="s">
        <v>27</v>
      </c>
      <c r="C57" t="s">
        <v>34</v>
      </c>
      <c r="D57" t="str">
        <f>HYPERLINK("PDF Output/21796/15 Dec 2021/1984967062.pdf", "1984967062")</f>
        <v>1984967062</v>
      </c>
      <c r="E57" t="s">
        <v>10</v>
      </c>
      <c r="F57" t="s">
        <v>157</v>
      </c>
      <c r="G57" s="16">
        <v>365</v>
      </c>
    </row>
    <row r="58" spans="1:7" hidden="1" x14ac:dyDescent="0.25">
      <c r="A58" s="8" t="s">
        <v>26</v>
      </c>
      <c r="B58" s="4" t="s">
        <v>8</v>
      </c>
      <c r="C58" s="4" t="s">
        <v>147</v>
      </c>
      <c r="D58" s="4" t="str">
        <f>HYPERLINK("PDF Output/21785/09 Dec 2021/0618 T07244.pdf", "0618 T07244")</f>
        <v>0618 T07244</v>
      </c>
      <c r="E58" s="4" t="s">
        <v>10</v>
      </c>
      <c r="F58" s="4" t="s">
        <v>158</v>
      </c>
      <c r="G58" s="16" t="s">
        <v>159</v>
      </c>
    </row>
    <row r="59" spans="1:7" hidden="1" x14ac:dyDescent="0.25">
      <c r="A59" s="8" t="s">
        <v>54</v>
      </c>
      <c r="B59" s="4" t="s">
        <v>8</v>
      </c>
      <c r="C59" s="4" t="s">
        <v>147</v>
      </c>
      <c r="D59" s="4" t="str">
        <f>HYPERLINK("PDF Output/21785/06 Dec 2021/003.pdf", "003")</f>
        <v>003</v>
      </c>
      <c r="E59" s="4" t="s">
        <v>10</v>
      </c>
      <c r="F59" s="4" t="s">
        <v>160</v>
      </c>
      <c r="G59" s="16" t="s">
        <v>161</v>
      </c>
    </row>
    <row r="60" spans="1:7" hidden="1" x14ac:dyDescent="0.25">
      <c r="A60" s="8" t="s">
        <v>54</v>
      </c>
      <c r="B60" s="4" t="s">
        <v>8</v>
      </c>
      <c r="C60" s="4" t="s">
        <v>147</v>
      </c>
      <c r="D60" s="4" t="str">
        <f>HYPERLINK("PDF Output/21785/06 Dec 2021/0618 S06572.pdf", "0618 S06572")</f>
        <v>0618 S06572</v>
      </c>
      <c r="E60" s="4" t="s">
        <v>10</v>
      </c>
      <c r="F60" s="4" t="s">
        <v>162</v>
      </c>
      <c r="G60" s="16" t="s">
        <v>163</v>
      </c>
    </row>
    <row r="61" spans="1:7" hidden="1" x14ac:dyDescent="0.25">
      <c r="A61" s="8" t="s">
        <v>26</v>
      </c>
      <c r="B61" s="4" t="s">
        <v>8</v>
      </c>
      <c r="C61" s="4" t="s">
        <v>164</v>
      </c>
      <c r="D61" s="4" t="str">
        <f>HYPERLINK("PDF Output/21785/09 Dec 2021/9169 APL913.pdf", "9169 APL913")</f>
        <v>9169 APL913</v>
      </c>
      <c r="E61" s="4" t="s">
        <v>10</v>
      </c>
      <c r="F61" s="4" t="s">
        <v>95</v>
      </c>
      <c r="G61" s="16" t="s">
        <v>165</v>
      </c>
    </row>
    <row r="62" spans="1:7" hidden="1" x14ac:dyDescent="0.25">
      <c r="A62" s="8" t="s">
        <v>166</v>
      </c>
      <c r="B62" s="4" t="s">
        <v>8</v>
      </c>
      <c r="C62" s="4" t="s">
        <v>164</v>
      </c>
      <c r="D62" s="4" t="str">
        <f>HYPERLINK("PDF Output/21785/08 Dec 2021/9169 APL789.pdf", "9169 APL789")</f>
        <v>9169 APL789</v>
      </c>
      <c r="E62" s="4" t="s">
        <v>10</v>
      </c>
      <c r="F62" s="4" t="s">
        <v>95</v>
      </c>
      <c r="G62" s="16" t="s">
        <v>165</v>
      </c>
    </row>
    <row r="63" spans="1:7" hidden="1" x14ac:dyDescent="0.25">
      <c r="A63" s="8" t="s">
        <v>166</v>
      </c>
      <c r="B63" s="4" t="s">
        <v>8</v>
      </c>
      <c r="C63" s="4" t="s">
        <v>164</v>
      </c>
      <c r="D63" s="4" t="str">
        <f>HYPERLINK("PDF Output/21785/08 Dec 2021/9169 APL756.pdf", "9169 APL756")</f>
        <v>9169 APL756</v>
      </c>
      <c r="E63" s="4" t="s">
        <v>10</v>
      </c>
      <c r="F63" s="4" t="s">
        <v>167</v>
      </c>
      <c r="G63" s="16" t="s">
        <v>168</v>
      </c>
    </row>
    <row r="64" spans="1:7" hidden="1" x14ac:dyDescent="0.25">
      <c r="A64" s="9" t="s">
        <v>44</v>
      </c>
      <c r="B64" t="s">
        <v>27</v>
      </c>
      <c r="C64" t="s">
        <v>164</v>
      </c>
      <c r="D64" t="str">
        <f>HYPERLINK("PDF Output/21796/13 Dec 2021/2480 ADS121.pdf", "2480 ADS121")</f>
        <v>2480 ADS121</v>
      </c>
      <c r="E64" t="s">
        <v>10</v>
      </c>
      <c r="F64" t="s">
        <v>169</v>
      </c>
      <c r="G64" s="16" t="s">
        <v>170</v>
      </c>
    </row>
    <row r="65" spans="1:7" x14ac:dyDescent="0.25">
      <c r="A65" s="9" t="s">
        <v>171</v>
      </c>
      <c r="B65" t="s">
        <v>58</v>
      </c>
      <c r="C65" t="s">
        <v>114</v>
      </c>
      <c r="D65" t="str">
        <f>HYPERLINK("PDF Output/21787/19 Dec 2021/25 11949841.pdf", "25/11949841")</f>
        <v>25/11949841</v>
      </c>
      <c r="E65" t="s">
        <v>10</v>
      </c>
      <c r="F65" t="s">
        <v>172</v>
      </c>
      <c r="G65" s="16" t="s">
        <v>173</v>
      </c>
    </row>
    <row r="66" spans="1:7" hidden="1" x14ac:dyDescent="0.25">
      <c r="A66" s="9" t="s">
        <v>174</v>
      </c>
      <c r="B66" t="s">
        <v>102</v>
      </c>
      <c r="C66" t="s">
        <v>175</v>
      </c>
      <c r="D66" t="str">
        <f>HYPERLINK("PDF Output/21786/17 Dec 2021/18356.pdf", "18356")</f>
        <v>18356</v>
      </c>
      <c r="E66" t="s">
        <v>10</v>
      </c>
      <c r="F66" t="s">
        <v>176</v>
      </c>
      <c r="G66" s="16" t="s">
        <v>177</v>
      </c>
    </row>
    <row r="67" spans="1:7" x14ac:dyDescent="0.25">
      <c r="A67" s="9" t="s">
        <v>7</v>
      </c>
      <c r="B67" t="s">
        <v>58</v>
      </c>
      <c r="C67" t="s">
        <v>119</v>
      </c>
      <c r="D67" t="str">
        <f>HYPERLINK("PDF Output/21787/10 Dec 2021/A9799.pdf", "A9799")</f>
        <v>A9799</v>
      </c>
      <c r="E67" t="s">
        <v>10</v>
      </c>
      <c r="F67" t="s">
        <v>178</v>
      </c>
      <c r="G67" s="16" t="s">
        <v>121</v>
      </c>
    </row>
    <row r="68" spans="1:7" x14ac:dyDescent="0.25">
      <c r="A68" s="9" t="s">
        <v>7</v>
      </c>
      <c r="B68" t="s">
        <v>58</v>
      </c>
      <c r="C68" t="s">
        <v>179</v>
      </c>
      <c r="D68" t="str">
        <f>HYPERLINK("PDF Output/21787/10 Dec 2021/A9800.pdf", "A9800")</f>
        <v>A9800</v>
      </c>
      <c r="E68" t="s">
        <v>10</v>
      </c>
      <c r="F68" t="s">
        <v>180</v>
      </c>
      <c r="G68" s="16" t="s">
        <v>181</v>
      </c>
    </row>
    <row r="69" spans="1:7" x14ac:dyDescent="0.25">
      <c r="A69" s="9" t="s">
        <v>141</v>
      </c>
      <c r="B69" t="s">
        <v>58</v>
      </c>
      <c r="C69" t="s">
        <v>68</v>
      </c>
      <c r="D69" t="str">
        <f>HYPERLINK("PDF Output/21787/16 Dec 2021/A9901.pdf", "A9901")</f>
        <v>A9901</v>
      </c>
      <c r="E69" t="s">
        <v>10</v>
      </c>
      <c r="F69" t="s">
        <v>182</v>
      </c>
      <c r="G69" s="16" t="s">
        <v>183</v>
      </c>
    </row>
    <row r="70" spans="1:7" hidden="1" x14ac:dyDescent="0.25">
      <c r="A70" s="8" t="s">
        <v>54</v>
      </c>
      <c r="B70" s="4" t="s">
        <v>93</v>
      </c>
      <c r="C70" s="4" t="s">
        <v>147</v>
      </c>
      <c r="D70" s="4" t="str">
        <f>HYPERLINK("PDF Output/21781/06 Dec 2021/9270 
AQK976.pdf", "9270 
AQK976")</f>
        <v>9270 
AQK976</v>
      </c>
      <c r="E70" s="4" t="s">
        <v>10</v>
      </c>
      <c r="F70" s="4" t="s">
        <v>97</v>
      </c>
      <c r="G70" s="16" t="s">
        <v>184</v>
      </c>
    </row>
    <row r="71" spans="1:7" hidden="1" x14ac:dyDescent="0.25">
      <c r="A71" s="9" t="s">
        <v>54</v>
      </c>
      <c r="B71" t="s">
        <v>185</v>
      </c>
      <c r="C71" t="s">
        <v>147</v>
      </c>
      <c r="D71" t="str">
        <f>HYPERLINK("PDF Output/19743/06 Dec 2021/4719 
AAW026.pdf", "4719 
AAW026")</f>
        <v>4719 
AAW026</v>
      </c>
      <c r="E71" t="s">
        <v>10</v>
      </c>
      <c r="F71" t="s">
        <v>186</v>
      </c>
      <c r="G71" s="15" t="s">
        <v>187</v>
      </c>
    </row>
    <row r="72" spans="1:7" hidden="1" x14ac:dyDescent="0.25">
      <c r="A72" s="9" t="s">
        <v>26</v>
      </c>
      <c r="B72" t="s">
        <v>102</v>
      </c>
      <c r="C72" t="s">
        <v>147</v>
      </c>
      <c r="D72" t="str">
        <f>HYPERLINK("PDF Output/21786/09 Dec 2021/3025 
AWC643.pdf", "3025 
AWC643")</f>
        <v>3025 
AWC643</v>
      </c>
      <c r="E72" t="s">
        <v>10</v>
      </c>
      <c r="F72" t="s">
        <v>95</v>
      </c>
      <c r="G72" s="15" t="s">
        <v>188</v>
      </c>
    </row>
    <row r="73" spans="1:7" hidden="1" x14ac:dyDescent="0.25">
      <c r="A73" s="9" t="s">
        <v>7</v>
      </c>
      <c r="B73" t="s">
        <v>102</v>
      </c>
      <c r="C73" t="s">
        <v>147</v>
      </c>
      <c r="D73" t="str">
        <f>HYPERLINK("PDF Output/21786/10 Dec 2021/3025 
AWC784.pdf", "3025 
AWC784")</f>
        <v>3025 
AWC784</v>
      </c>
      <c r="E73" t="s">
        <v>10</v>
      </c>
      <c r="F73" t="s">
        <v>95</v>
      </c>
      <c r="G73" s="15" t="s">
        <v>189</v>
      </c>
    </row>
    <row r="74" spans="1:7" hidden="1" x14ac:dyDescent="0.25">
      <c r="A74" s="8" t="s">
        <v>7</v>
      </c>
      <c r="B74" s="4" t="s">
        <v>93</v>
      </c>
      <c r="C74" s="4" t="s">
        <v>147</v>
      </c>
      <c r="D74" s="4" t="str">
        <f>HYPERLINK("PDF Output/21781/10 Dec 2021/9270 
AQL407.pdf", "9270 
AQL407")</f>
        <v>9270 
AQL407</v>
      </c>
      <c r="E74" s="4" t="s">
        <v>10</v>
      </c>
      <c r="F74" s="4" t="s">
        <v>95</v>
      </c>
      <c r="G74" s="14" t="s">
        <v>190</v>
      </c>
    </row>
    <row r="75" spans="1:7" x14ac:dyDescent="0.25">
      <c r="A75" s="9" t="s">
        <v>166</v>
      </c>
      <c r="B75" t="s">
        <v>58</v>
      </c>
      <c r="C75" t="s">
        <v>191</v>
      </c>
      <c r="D75" t="str">
        <f>HYPERLINK("PDF Output/21787/08 Dec 2021/0072 30047761.pdf", "0072/30047761")</f>
        <v>0072/30047761</v>
      </c>
      <c r="E75" t="s">
        <v>10</v>
      </c>
      <c r="F75" t="s">
        <v>192</v>
      </c>
      <c r="G75" s="15" t="s">
        <v>193</v>
      </c>
    </row>
    <row r="76" spans="1:7" x14ac:dyDescent="0.25">
      <c r="A76" s="9" t="s">
        <v>21</v>
      </c>
      <c r="B76" t="s">
        <v>58</v>
      </c>
      <c r="C76" t="s">
        <v>82</v>
      </c>
      <c r="D76" t="str">
        <f>HYPERLINK("PDF Output/21787/12 Dec 2021/190547.pdf", "190547")</f>
        <v>190547</v>
      </c>
      <c r="E76" t="s">
        <v>10</v>
      </c>
      <c r="F76" t="s">
        <v>194</v>
      </c>
      <c r="G76" s="15" t="s">
        <v>195</v>
      </c>
    </row>
    <row r="77" spans="1:7" x14ac:dyDescent="0.25">
      <c r="A77" s="9" t="s">
        <v>44</v>
      </c>
      <c r="B77" t="s">
        <v>58</v>
      </c>
      <c r="C77" t="s">
        <v>191</v>
      </c>
      <c r="D77" t="str">
        <f>HYPERLINK("PDF Output/21787/13 Dec 2021/30047977.pdf", "30047977")</f>
        <v>30047977</v>
      </c>
      <c r="E77" t="s">
        <v>10</v>
      </c>
      <c r="F77" t="s">
        <v>196</v>
      </c>
      <c r="G77" s="15" t="s">
        <v>197</v>
      </c>
    </row>
    <row r="78" spans="1:7" x14ac:dyDescent="0.25">
      <c r="A78" s="9" t="s">
        <v>44</v>
      </c>
      <c r="B78" t="s">
        <v>58</v>
      </c>
      <c r="C78" t="s">
        <v>191</v>
      </c>
      <c r="D78" t="str">
        <f>HYPERLINK("PDF Output/21787/13 Dec 2021/0072 30047994.pdf", "0072/30047994")</f>
        <v>0072/30047994</v>
      </c>
      <c r="E78" t="s">
        <v>10</v>
      </c>
      <c r="F78" t="s">
        <v>198</v>
      </c>
      <c r="G78" s="15" t="s">
        <v>199</v>
      </c>
    </row>
    <row r="79" spans="1:7" x14ac:dyDescent="0.25">
      <c r="A79" s="9" t="s">
        <v>44</v>
      </c>
      <c r="B79" t="s">
        <v>58</v>
      </c>
      <c r="C79" t="s">
        <v>191</v>
      </c>
      <c r="D79" t="str">
        <f>HYPERLINK("PDF Output/21787/13 Dec 2021/0072 30047978.pdf", "0072/30047978")</f>
        <v>0072/30047978</v>
      </c>
      <c r="E79" t="s">
        <v>10</v>
      </c>
      <c r="F79" t="s">
        <v>200</v>
      </c>
      <c r="G79" s="15" t="s">
        <v>201</v>
      </c>
    </row>
    <row r="80" spans="1:7" x14ac:dyDescent="0.25">
      <c r="A80" s="9" t="s">
        <v>44</v>
      </c>
      <c r="B80" t="s">
        <v>58</v>
      </c>
      <c r="C80" t="s">
        <v>191</v>
      </c>
      <c r="D80" t="str">
        <f>HYPERLINK("PDF Output/21787/13 Dec 2021/0072 30047977.pdf", "0072/30047977")</f>
        <v>0072/30047977</v>
      </c>
      <c r="E80" t="s">
        <v>10</v>
      </c>
      <c r="F80" t="s">
        <v>202</v>
      </c>
      <c r="G80" s="15" t="s">
        <v>203</v>
      </c>
    </row>
    <row r="81" spans="1:7" x14ac:dyDescent="0.25">
      <c r="A81" s="9" t="s">
        <v>7</v>
      </c>
      <c r="B81" t="s">
        <v>58</v>
      </c>
      <c r="C81" t="s">
        <v>191</v>
      </c>
      <c r="D81" t="str">
        <f>HYPERLINK("PDF Output/21787/10 Dec 2021/0072 30047928.pdf", "0072/30047928")</f>
        <v>0072/30047928</v>
      </c>
      <c r="E81" t="s">
        <v>10</v>
      </c>
      <c r="F81" t="s">
        <v>204</v>
      </c>
      <c r="G81" s="15" t="s">
        <v>205</v>
      </c>
    </row>
    <row r="82" spans="1:7" hidden="1" x14ac:dyDescent="0.25">
      <c r="A82" s="8" t="s">
        <v>174</v>
      </c>
      <c r="B82" s="4" t="s">
        <v>93</v>
      </c>
      <c r="C82" s="4" t="s">
        <v>89</v>
      </c>
      <c r="D82" s="4" t="str">
        <f>HYPERLINK("PDF Output/21781/17 Dec 2021/102148.pdf", "102148")</f>
        <v>102148</v>
      </c>
      <c r="E82" s="4" t="s">
        <v>10</v>
      </c>
      <c r="F82" s="4" t="s">
        <v>206</v>
      </c>
      <c r="G82" s="14" t="s">
        <v>207</v>
      </c>
    </row>
    <row r="83" spans="1:7" hidden="1" x14ac:dyDescent="0.25">
      <c r="A83" s="8" t="s">
        <v>174</v>
      </c>
      <c r="B83" s="4" t="s">
        <v>93</v>
      </c>
      <c r="C83" s="4" t="s">
        <v>208</v>
      </c>
      <c r="D83" s="4" t="str">
        <f>HYPERLINK("PDF Output/21781/17 Dec 2021/105714.pdf", "105714")</f>
        <v>105714</v>
      </c>
      <c r="E83" s="4" t="s">
        <v>10</v>
      </c>
      <c r="F83" s="4" t="s">
        <v>209</v>
      </c>
      <c r="G83" s="14" t="s">
        <v>209</v>
      </c>
    </row>
    <row r="84" spans="1:7" x14ac:dyDescent="0.25">
      <c r="A84" s="9" t="s">
        <v>174</v>
      </c>
      <c r="B84" t="s">
        <v>58</v>
      </c>
      <c r="C84" t="s">
        <v>210</v>
      </c>
      <c r="D84" t="str">
        <f>HYPERLINK("PDF Output/21787/17 Dec 2021/239472.pdf", "239472")</f>
        <v>239472</v>
      </c>
      <c r="E84" t="s">
        <v>10</v>
      </c>
      <c r="F84" t="s">
        <v>211</v>
      </c>
      <c r="G84" s="15" t="s">
        <v>212</v>
      </c>
    </row>
    <row r="85" spans="1:7" hidden="1" x14ac:dyDescent="0.25">
      <c r="A85" s="8" t="s">
        <v>174</v>
      </c>
      <c r="B85" s="4" t="s">
        <v>93</v>
      </c>
      <c r="C85" s="4" t="s">
        <v>210</v>
      </c>
      <c r="D85" s="4" t="str">
        <f>HYPERLINK("PDF Output/21781/17 Dec 2021/239473.pdf", "239473")</f>
        <v>239473</v>
      </c>
      <c r="E85" s="4" t="s">
        <v>10</v>
      </c>
      <c r="F85" s="4" t="s">
        <v>213</v>
      </c>
      <c r="G85" s="14" t="s">
        <v>214</v>
      </c>
    </row>
    <row r="86" spans="1:7" hidden="1" x14ac:dyDescent="0.25">
      <c r="A86" s="9" t="s">
        <v>85</v>
      </c>
      <c r="B86" t="s">
        <v>27</v>
      </c>
      <c r="C86" t="s">
        <v>215</v>
      </c>
      <c r="D86" t="str">
        <f>HYPERLINK("PDF Output/21796/15 Dec 2021/6565643.pdf", "6565643")</f>
        <v>6565643</v>
      </c>
      <c r="E86" t="s">
        <v>10</v>
      </c>
      <c r="F86" t="s">
        <v>216</v>
      </c>
      <c r="G86" s="15">
        <v>513</v>
      </c>
    </row>
    <row r="87" spans="1:7" hidden="1" x14ac:dyDescent="0.25">
      <c r="A87" s="9" t="s">
        <v>141</v>
      </c>
      <c r="B87" t="s">
        <v>8</v>
      </c>
      <c r="C87" s="4" t="s">
        <v>217</v>
      </c>
      <c r="D87" t="str">
        <f>HYPERLINK("PDF Output/21785/16 Dec 2021/136933.pdf", "136933")</f>
        <v>136933</v>
      </c>
      <c r="E87" t="s">
        <v>10</v>
      </c>
      <c r="F87" t="s">
        <v>218</v>
      </c>
      <c r="G87" s="15">
        <v>28.44</v>
      </c>
    </row>
    <row r="88" spans="1:7" hidden="1" x14ac:dyDescent="0.25">
      <c r="C88" s="4"/>
      <c r="G88" s="15"/>
    </row>
    <row r="89" spans="1:7" hidden="1" x14ac:dyDescent="0.25">
      <c r="A89" s="9" t="s">
        <v>141</v>
      </c>
      <c r="B89" t="s">
        <v>27</v>
      </c>
      <c r="C89" t="s">
        <v>217</v>
      </c>
      <c r="D89" t="str">
        <f>HYPERLINK("PDF Output/21796/16 Dec 2021/136848.pdf", "136848")</f>
        <v>136848</v>
      </c>
      <c r="E89" t="s">
        <v>10</v>
      </c>
      <c r="F89" t="s">
        <v>219</v>
      </c>
      <c r="G89" s="15">
        <v>79.86</v>
      </c>
    </row>
    <row r="90" spans="1:7" hidden="1" x14ac:dyDescent="0.25">
      <c r="A90" s="9" t="s">
        <v>38</v>
      </c>
      <c r="B90" t="s">
        <v>27</v>
      </c>
      <c r="C90" t="s">
        <v>217</v>
      </c>
      <c r="D90" t="str">
        <f>HYPERLINK("PDF Output/21796/07 Dec 2021/136569.pdf", "136569")</f>
        <v>136569</v>
      </c>
      <c r="E90" t="s">
        <v>10</v>
      </c>
      <c r="F90" t="s">
        <v>220</v>
      </c>
      <c r="G90" s="15">
        <v>128.03</v>
      </c>
    </row>
    <row r="91" spans="1:7" hidden="1" x14ac:dyDescent="0.25">
      <c r="A91" s="9" t="s">
        <v>221</v>
      </c>
      <c r="B91" t="s">
        <v>8</v>
      </c>
      <c r="C91" s="4" t="s">
        <v>222</v>
      </c>
      <c r="D91" s="4" t="str">
        <f>HYPERLINK("PDF Output/21785/20 Dec 2021/8286976.pdf", "8286976")</f>
        <v>8286976</v>
      </c>
      <c r="E91" t="s">
        <v>18</v>
      </c>
      <c r="F91" t="s">
        <v>46</v>
      </c>
      <c r="G91" s="15">
        <v>566.9</v>
      </c>
    </row>
    <row r="92" spans="1:7" hidden="1" x14ac:dyDescent="0.25">
      <c r="A92" s="9" t="s">
        <v>221</v>
      </c>
      <c r="B92" t="s">
        <v>8</v>
      </c>
      <c r="C92" s="4" t="s">
        <v>222</v>
      </c>
      <c r="D92" s="4" t="str">
        <f>HYPERLINK("PDF Output/21785/20 Dec 2021/8286978.pdf", "8286978")</f>
        <v>8286978</v>
      </c>
      <c r="E92" t="s">
        <v>18</v>
      </c>
      <c r="F92" t="s">
        <v>46</v>
      </c>
      <c r="G92" s="15">
        <v>995.8</v>
      </c>
    </row>
    <row r="93" spans="1:7" x14ac:dyDescent="0.25">
      <c r="A93" s="9" t="s">
        <v>141</v>
      </c>
      <c r="B93" t="s">
        <v>58</v>
      </c>
      <c r="C93" t="s">
        <v>223</v>
      </c>
      <c r="D93" t="str">
        <f>HYPERLINK("PDF Output/21787/16 Dec 2021/70138.pdf", "70138")</f>
        <v>70138</v>
      </c>
      <c r="E93" t="s">
        <v>10</v>
      </c>
      <c r="F93" t="s">
        <v>224</v>
      </c>
      <c r="G93" s="15">
        <v>224.1</v>
      </c>
    </row>
    <row r="94" spans="1:7" hidden="1" x14ac:dyDescent="0.25">
      <c r="A94" s="9" t="s">
        <v>38</v>
      </c>
      <c r="B94" t="s">
        <v>102</v>
      </c>
      <c r="C94" t="s">
        <v>225</v>
      </c>
      <c r="D94" t="str">
        <f>HYPERLINK("PDF Output/21786/07 Dec 2021/136629.pdf", "136629")</f>
        <v>136629</v>
      </c>
      <c r="E94" t="s">
        <v>10</v>
      </c>
      <c r="F94" t="s">
        <v>226</v>
      </c>
      <c r="G94" s="15">
        <v>202.33</v>
      </c>
    </row>
    <row r="95" spans="1:7" x14ac:dyDescent="0.25">
      <c r="A95" s="9" t="s">
        <v>38</v>
      </c>
      <c r="B95" t="s">
        <v>58</v>
      </c>
      <c r="C95" t="s">
        <v>227</v>
      </c>
      <c r="D95" t="str">
        <f>HYPERLINK("PDF Output/21787/07 Dec 2021/136586.pdf", "136586")</f>
        <v>136586</v>
      </c>
      <c r="E95" t="s">
        <v>10</v>
      </c>
      <c r="F95" t="s">
        <v>228</v>
      </c>
      <c r="G95" s="15">
        <v>14.94</v>
      </c>
    </row>
    <row r="96" spans="1:7" x14ac:dyDescent="0.25">
      <c r="A96" s="9" t="s">
        <v>38</v>
      </c>
      <c r="B96" t="s">
        <v>58</v>
      </c>
      <c r="C96" t="s">
        <v>217</v>
      </c>
      <c r="D96" t="str">
        <f>HYPERLINK("PDF Output/21787/07 Dec 2021/136556.pdf", "136556")</f>
        <v>136556</v>
      </c>
      <c r="E96" t="s">
        <v>10</v>
      </c>
      <c r="F96" t="s">
        <v>229</v>
      </c>
      <c r="G96" s="15">
        <v>18.87</v>
      </c>
    </row>
    <row r="97" spans="1:7" x14ac:dyDescent="0.25">
      <c r="A97" s="9" t="s">
        <v>38</v>
      </c>
      <c r="B97" t="s">
        <v>58</v>
      </c>
      <c r="C97" t="s">
        <v>230</v>
      </c>
      <c r="D97" t="str">
        <f>HYPERLINK("PDF Output/21787/07 Dec 2021/136555.pdf", "136555")</f>
        <v>136555</v>
      </c>
      <c r="E97" t="s">
        <v>10</v>
      </c>
      <c r="F97" t="s">
        <v>231</v>
      </c>
      <c r="G97" s="15">
        <v>7.77</v>
      </c>
    </row>
    <row r="98" spans="1:7" x14ac:dyDescent="0.25">
      <c r="A98" s="9" t="s">
        <v>38</v>
      </c>
      <c r="B98" t="s">
        <v>58</v>
      </c>
      <c r="C98" t="s">
        <v>232</v>
      </c>
      <c r="D98" t="str">
        <f>HYPERLINK("PDF Output/21787/07 Dec 2021/136544.pdf", "136544")</f>
        <v>136544</v>
      </c>
      <c r="E98" t="s">
        <v>10</v>
      </c>
      <c r="F98" t="s">
        <v>233</v>
      </c>
      <c r="G98" s="15">
        <v>145.4</v>
      </c>
    </row>
    <row r="99" spans="1:7" x14ac:dyDescent="0.25">
      <c r="A99" s="9" t="s">
        <v>221</v>
      </c>
      <c r="B99" t="s">
        <v>58</v>
      </c>
      <c r="C99" t="s">
        <v>234</v>
      </c>
      <c r="D99" t="str">
        <f>HYPERLINK("PDF Output/21787/20 Dec 2021/A9926.pdf", "A9926")</f>
        <v>A9926</v>
      </c>
      <c r="E99" t="s">
        <v>10</v>
      </c>
      <c r="F99" t="s">
        <v>235</v>
      </c>
      <c r="G99" s="15">
        <v>158</v>
      </c>
    </row>
    <row r="100" spans="1:7" x14ac:dyDescent="0.25">
      <c r="A100" s="9" t="s">
        <v>174</v>
      </c>
      <c r="B100" t="s">
        <v>58</v>
      </c>
      <c r="C100" t="s">
        <v>234</v>
      </c>
      <c r="D100" t="str">
        <f>HYPERLINK("PDF Output/21787/17 Dec 2021/A9922.pdf", "A9922")</f>
        <v>A9922</v>
      </c>
      <c r="E100" t="s">
        <v>10</v>
      </c>
      <c r="F100" t="s">
        <v>236</v>
      </c>
      <c r="G100" s="15">
        <v>147</v>
      </c>
    </row>
    <row r="101" spans="1:7" hidden="1" x14ac:dyDescent="0.25">
      <c r="A101" s="9" t="s">
        <v>92</v>
      </c>
      <c r="B101" t="s">
        <v>102</v>
      </c>
      <c r="C101" t="s">
        <v>237</v>
      </c>
      <c r="D101" t="str">
        <f>HYPERLINK("PDF Output/21786/03 Dec 2021/10527060.pdf", "10527060")</f>
        <v>10527060</v>
      </c>
      <c r="E101" t="s">
        <v>18</v>
      </c>
      <c r="F101" t="s">
        <v>238</v>
      </c>
      <c r="G101" s="15">
        <v>16.48</v>
      </c>
    </row>
    <row r="102" spans="1:7" hidden="1" x14ac:dyDescent="0.25">
      <c r="A102" s="8" t="s">
        <v>239</v>
      </c>
      <c r="B102" s="4" t="s">
        <v>93</v>
      </c>
      <c r="C102" s="4" t="s">
        <v>240</v>
      </c>
      <c r="D102" s="4" t="str">
        <f>HYPERLINK("PDF Output/21781/02 Dec 2021/10523342.pdf", "10523342")</f>
        <v>10523342</v>
      </c>
      <c r="E102" s="4" t="s">
        <v>18</v>
      </c>
      <c r="F102" s="4" t="s">
        <v>46</v>
      </c>
      <c r="G102" s="14">
        <v>8.99</v>
      </c>
    </row>
    <row r="103" spans="1:7" x14ac:dyDescent="0.25">
      <c r="A103" s="9" t="s">
        <v>174</v>
      </c>
      <c r="B103" t="s">
        <v>58</v>
      </c>
      <c r="C103" t="s">
        <v>241</v>
      </c>
      <c r="D103" t="str">
        <f>HYPERLINK("PDF Output/21787/17 Dec 2021/358510.pdf", "358510")</f>
        <v>358510</v>
      </c>
      <c r="E103" t="s">
        <v>10</v>
      </c>
      <c r="F103" t="s">
        <v>242</v>
      </c>
      <c r="G103" s="15">
        <v>410.44</v>
      </c>
    </row>
    <row r="104" spans="1:7" hidden="1" x14ac:dyDescent="0.25">
      <c r="A104" s="9" t="s">
        <v>243</v>
      </c>
      <c r="B104" t="s">
        <v>102</v>
      </c>
      <c r="C104" t="s">
        <v>86</v>
      </c>
      <c r="D104" t="str">
        <f>HYPERLINK("PDF Output/21786/21 Dec 2021/52SI 274522.pdf", "52SI/274522")</f>
        <v>52SI/274522</v>
      </c>
      <c r="E104" t="s">
        <v>18</v>
      </c>
      <c r="F104" t="s">
        <v>244</v>
      </c>
      <c r="G104" s="15">
        <v>6530</v>
      </c>
    </row>
    <row r="105" spans="1:7" x14ac:dyDescent="0.25">
      <c r="A105" s="9" t="s">
        <v>174</v>
      </c>
      <c r="B105" t="s">
        <v>58</v>
      </c>
      <c r="C105" t="s">
        <v>245</v>
      </c>
      <c r="D105" t="str">
        <f>HYPERLINK("PDF Output/21787/17 Dec 2021/358530.pdf", "358530")</f>
        <v>358530</v>
      </c>
      <c r="E105" t="s">
        <v>10</v>
      </c>
      <c r="F105" t="s">
        <v>246</v>
      </c>
      <c r="G105" s="15">
        <v>1234.53</v>
      </c>
    </row>
    <row r="106" spans="1:7" hidden="1" x14ac:dyDescent="0.25">
      <c r="A106" s="9" t="s">
        <v>67</v>
      </c>
      <c r="B106" t="s">
        <v>102</v>
      </c>
      <c r="C106" t="s">
        <v>247</v>
      </c>
      <c r="D106" t="str">
        <f>HYPERLINK("PDF Output/21786/14 Dec 2021/16113497.pdf", "16113497")</f>
        <v>16113497</v>
      </c>
      <c r="E106" t="s">
        <v>10</v>
      </c>
      <c r="F106" t="s">
        <v>248</v>
      </c>
      <c r="G106" s="15">
        <v>43.5</v>
      </c>
    </row>
    <row r="107" spans="1:7" hidden="1" x14ac:dyDescent="0.25">
      <c r="A107" s="9" t="s">
        <v>26</v>
      </c>
      <c r="B107" t="s">
        <v>102</v>
      </c>
      <c r="C107" t="s">
        <v>217</v>
      </c>
      <c r="D107" t="str">
        <f>HYPERLINK("PDF Output/21786/09 Dec 2021/136755.pdf", "136755")</f>
        <v>136755</v>
      </c>
      <c r="E107" t="s">
        <v>10</v>
      </c>
      <c r="F107" t="s">
        <v>249</v>
      </c>
      <c r="G107" s="15">
        <v>9.4600000000000009</v>
      </c>
    </row>
    <row r="108" spans="1:7" x14ac:dyDescent="0.25">
      <c r="A108" s="9" t="s">
        <v>26</v>
      </c>
      <c r="B108" t="s">
        <v>58</v>
      </c>
      <c r="C108" t="s">
        <v>217</v>
      </c>
      <c r="D108" t="str">
        <f>HYPERLINK("PDF Output/21787/09 Dec 2021/136745.pdf", "136745")</f>
        <v>136745</v>
      </c>
      <c r="E108" t="s">
        <v>10</v>
      </c>
      <c r="F108" t="s">
        <v>250</v>
      </c>
      <c r="G108" s="15">
        <v>27</v>
      </c>
    </row>
    <row r="109" spans="1:7" hidden="1" x14ac:dyDescent="0.25">
      <c r="A109" s="8" t="s">
        <v>141</v>
      </c>
      <c r="B109" s="4" t="s">
        <v>93</v>
      </c>
      <c r="C109" s="4" t="s">
        <v>217</v>
      </c>
      <c r="D109" s="4" t="str">
        <f>HYPERLINK("PDF Output/21781/16 Dec 2021/136960.pdf", "136960")</f>
        <v>136960</v>
      </c>
      <c r="E109" s="4" t="s">
        <v>10</v>
      </c>
      <c r="F109" s="4" t="s">
        <v>251</v>
      </c>
      <c r="G109" s="14">
        <v>21.84</v>
      </c>
    </row>
    <row r="110" spans="1:7" x14ac:dyDescent="0.25">
      <c r="A110" s="9" t="s">
        <v>141</v>
      </c>
      <c r="B110" t="s">
        <v>58</v>
      </c>
      <c r="C110" t="s">
        <v>225</v>
      </c>
      <c r="D110" t="str">
        <f>HYPERLINK("PDF Output/21787/16 Dec 2021/136895.pdf", "136895")</f>
        <v>136895</v>
      </c>
      <c r="E110" t="s">
        <v>10</v>
      </c>
      <c r="F110" t="s">
        <v>252</v>
      </c>
      <c r="G110" s="15">
        <v>154.94</v>
      </c>
    </row>
    <row r="111" spans="1:7" hidden="1" x14ac:dyDescent="0.25">
      <c r="A111" s="8" t="s">
        <v>141</v>
      </c>
      <c r="B111" s="4" t="s">
        <v>93</v>
      </c>
      <c r="C111" s="4" t="s">
        <v>217</v>
      </c>
      <c r="D111" s="4" t="str">
        <f>HYPERLINK("PDF Output/21781/16 Dec 2021/136888.pdf", "136888")</f>
        <v>136888</v>
      </c>
      <c r="E111" s="4" t="s">
        <v>10</v>
      </c>
      <c r="F111" s="4" t="s">
        <v>253</v>
      </c>
      <c r="G111" s="14">
        <v>102.28</v>
      </c>
    </row>
    <row r="112" spans="1:7" hidden="1" x14ac:dyDescent="0.25">
      <c r="A112" s="9" t="s">
        <v>26</v>
      </c>
      <c r="B112" t="s">
        <v>8</v>
      </c>
      <c r="C112" s="4" t="s">
        <v>217</v>
      </c>
      <c r="D112" s="4" t="str">
        <f>HYPERLINK("PDF Output/21785/09 Dec 2021/136731.pdf", "136731")</f>
        <v>136731</v>
      </c>
      <c r="E112" t="s">
        <v>10</v>
      </c>
      <c r="F112" t="s">
        <v>254</v>
      </c>
      <c r="G112" s="15">
        <v>891.5</v>
      </c>
    </row>
    <row r="113" spans="1:7" hidden="1" x14ac:dyDescent="0.25">
      <c r="A113" s="9" t="s">
        <v>221</v>
      </c>
      <c r="B113" t="s">
        <v>8</v>
      </c>
      <c r="C113" s="4" t="s">
        <v>45</v>
      </c>
      <c r="D113" s="4" t="str">
        <f>HYPERLINK("PDF Output/21785/20 Dec 2021/8286977.pdf", "8286977")</f>
        <v>8286977</v>
      </c>
      <c r="E113" t="s">
        <v>18</v>
      </c>
      <c r="F113" t="s">
        <v>255</v>
      </c>
      <c r="G113" s="15">
        <v>622.02</v>
      </c>
    </row>
    <row r="114" spans="1:7" x14ac:dyDescent="0.25">
      <c r="A114" s="9" t="s">
        <v>85</v>
      </c>
      <c r="B114" t="s">
        <v>58</v>
      </c>
      <c r="C114" t="s">
        <v>245</v>
      </c>
      <c r="D114" t="str">
        <f>HYPERLINK("PDF Output/21787/15 Dec 2021/AC043783.pdf", "AC043783")</f>
        <v>AC043783</v>
      </c>
      <c r="E114" t="s">
        <v>10</v>
      </c>
      <c r="F114" t="s">
        <v>256</v>
      </c>
      <c r="G114" s="15">
        <v>66</v>
      </c>
    </row>
    <row r="115" spans="1:7" hidden="1" x14ac:dyDescent="0.25">
      <c r="A115" s="9" t="s">
        <v>243</v>
      </c>
      <c r="B115" t="s">
        <v>257</v>
      </c>
      <c r="C115" t="s">
        <v>258</v>
      </c>
      <c r="D115" t="str">
        <f>HYPERLINK("PDF Output/19761/21 Dec 2021/SIN33426.pdf", "SIN33426")</f>
        <v>SIN33426</v>
      </c>
      <c r="E115" t="s">
        <v>18</v>
      </c>
      <c r="F115" t="s">
        <v>259</v>
      </c>
      <c r="G115" s="15">
        <v>0</v>
      </c>
    </row>
    <row r="116" spans="1:7" hidden="1" x14ac:dyDescent="0.25">
      <c r="A116" s="9" t="s">
        <v>44</v>
      </c>
      <c r="B116" t="s">
        <v>102</v>
      </c>
      <c r="C116" t="s">
        <v>260</v>
      </c>
      <c r="D116" t="str">
        <f>HYPERLINK("PDF Output/21786/13 Dec 2021/0000096988.pdf", "0000096988")</f>
        <v>0000096988</v>
      </c>
      <c r="E116" t="s">
        <v>10</v>
      </c>
      <c r="F116" t="s">
        <v>261</v>
      </c>
      <c r="G116" s="15">
        <v>405</v>
      </c>
    </row>
    <row r="117" spans="1:7" x14ac:dyDescent="0.25">
      <c r="A117" s="9" t="s">
        <v>243</v>
      </c>
      <c r="B117" t="s">
        <v>58</v>
      </c>
      <c r="C117" t="s">
        <v>262</v>
      </c>
      <c r="D117" t="str">
        <f>HYPERLINK("PDF Output/21787/21 Dec 2021/A9954.pdf", "A9954")</f>
        <v>A9954</v>
      </c>
      <c r="E117" t="s">
        <v>10</v>
      </c>
      <c r="F117" t="s">
        <v>263</v>
      </c>
      <c r="G117" s="15">
        <v>205</v>
      </c>
    </row>
    <row r="118" spans="1:7" x14ac:dyDescent="0.25">
      <c r="A118" s="9" t="s">
        <v>141</v>
      </c>
      <c r="B118" t="s">
        <v>58</v>
      </c>
      <c r="C118" t="s">
        <v>264</v>
      </c>
      <c r="D118" t="str">
        <f>HYPERLINK("PDF Output/21787/16 Dec 2021/79530357.pdf", "79530357")</f>
        <v>79530357</v>
      </c>
      <c r="E118" t="s">
        <v>10</v>
      </c>
      <c r="F118" t="s">
        <v>265</v>
      </c>
      <c r="G118" s="15">
        <v>3615</v>
      </c>
    </row>
    <row r="119" spans="1:7" x14ac:dyDescent="0.25">
      <c r="A119" s="9" t="s">
        <v>85</v>
      </c>
      <c r="B119" t="s">
        <v>58</v>
      </c>
      <c r="C119" t="s">
        <v>82</v>
      </c>
      <c r="D119" t="str">
        <f>HYPERLINK("PDF Output/21787/15 Dec 2021/7 
9.pdf", "7 
9")</f>
        <v>7 
9</v>
      </c>
      <c r="E119" t="s">
        <v>10</v>
      </c>
      <c r="F119" t="s">
        <v>266</v>
      </c>
      <c r="G119" s="15">
        <v>1321</v>
      </c>
    </row>
    <row r="120" spans="1:7" hidden="1" x14ac:dyDescent="0.25">
      <c r="A120" s="9" t="s">
        <v>7</v>
      </c>
      <c r="B120" t="s">
        <v>185</v>
      </c>
      <c r="C120" t="s">
        <v>267</v>
      </c>
      <c r="D120" t="str">
        <f>HYPERLINK("PDF Output/19743/10 Dec 2021/INV-3697.pdf", "INV-3697")</f>
        <v>INV-3697</v>
      </c>
      <c r="E120" t="s">
        <v>10</v>
      </c>
      <c r="F120" t="s">
        <v>268</v>
      </c>
      <c r="G120" s="15">
        <v>295</v>
      </c>
    </row>
    <row r="121" spans="1:7" hidden="1" x14ac:dyDescent="0.25">
      <c r="A121" s="9" t="s">
        <v>171</v>
      </c>
      <c r="B121" t="s">
        <v>269</v>
      </c>
      <c r="C121" t="s">
        <v>51</v>
      </c>
      <c r="D121" t="str">
        <f>HYPERLINK("PDF Output/18719/19 Dec 2021/478179.pdf", "478179")</f>
        <v>478179</v>
      </c>
      <c r="E121" t="s">
        <v>18</v>
      </c>
      <c r="F121" t="s">
        <v>270</v>
      </c>
      <c r="G121" s="15">
        <v>1923</v>
      </c>
    </row>
    <row r="122" spans="1:7" hidden="1" x14ac:dyDescent="0.25">
      <c r="A122" s="9" t="s">
        <v>67</v>
      </c>
      <c r="B122" t="s">
        <v>269</v>
      </c>
      <c r="C122" t="s">
        <v>28</v>
      </c>
      <c r="D122" t="str">
        <f>HYPERLINK("PDF Output/18719/14 Dec 2021/18719 24570.pdf", "18719/24570")</f>
        <v>18719/24570</v>
      </c>
      <c r="E122" t="s">
        <v>10</v>
      </c>
      <c r="F122" t="s">
        <v>271</v>
      </c>
      <c r="G122" s="15">
        <v>0</v>
      </c>
    </row>
    <row r="123" spans="1:7" hidden="1" x14ac:dyDescent="0.25">
      <c r="A123" s="9" t="s">
        <v>141</v>
      </c>
      <c r="B123" t="s">
        <v>269</v>
      </c>
      <c r="C123" t="s">
        <v>28</v>
      </c>
      <c r="D123" t="str">
        <f>HYPERLINK("PDF Output/18719/16 Dec 2021/18719 24570.pdf", "18719/24570")</f>
        <v>18719/24570</v>
      </c>
      <c r="E123" t="s">
        <v>10</v>
      </c>
      <c r="F123" t="s">
        <v>30</v>
      </c>
      <c r="G123" s="15">
        <v>0</v>
      </c>
    </row>
    <row r="124" spans="1:7" hidden="1" x14ac:dyDescent="0.25">
      <c r="A124" s="9" t="s">
        <v>221</v>
      </c>
      <c r="B124" t="s">
        <v>102</v>
      </c>
      <c r="C124" t="s">
        <v>272</v>
      </c>
      <c r="D124" t="str">
        <f>HYPERLINK("PDF Output/21786/20 Dec 2021/52SI 274559.pdf", "52SI/274559")</f>
        <v>52SI/274559</v>
      </c>
      <c r="E124" t="s">
        <v>18</v>
      </c>
      <c r="F124" t="s">
        <v>273</v>
      </c>
      <c r="G124" s="15">
        <v>5939</v>
      </c>
    </row>
    <row r="125" spans="1:7" hidden="1" x14ac:dyDescent="0.25">
      <c r="A125" s="9" t="s">
        <v>85</v>
      </c>
      <c r="B125" t="s">
        <v>27</v>
      </c>
      <c r="C125" t="s">
        <v>264</v>
      </c>
      <c r="D125" t="str">
        <f>HYPERLINK("PDF Output/21796/15 Dec 2021/7 
9 
4 
98086.pdf", "7 
9 
4 
98086")</f>
        <v>7 
9 
4 
98086</v>
      </c>
      <c r="E125" t="s">
        <v>10</v>
      </c>
      <c r="F125" t="s">
        <v>274</v>
      </c>
      <c r="G125" s="15">
        <v>51</v>
      </c>
    </row>
    <row r="126" spans="1:7" hidden="1" x14ac:dyDescent="0.25">
      <c r="A126" s="9" t="s">
        <v>174</v>
      </c>
      <c r="B126" t="s">
        <v>27</v>
      </c>
      <c r="C126" t="s">
        <v>275</v>
      </c>
      <c r="D126" t="str">
        <f>HYPERLINK("PDF Output/21796/17 Dec 2021/21796 24354.pdf", "21796/24354")</f>
        <v>21796/24354</v>
      </c>
      <c r="E126" t="s">
        <v>10</v>
      </c>
      <c r="F126" t="s">
        <v>31</v>
      </c>
      <c r="G126" s="15">
        <v>0</v>
      </c>
    </row>
    <row r="127" spans="1:7" hidden="1" x14ac:dyDescent="0.25">
      <c r="A127" s="9" t="s">
        <v>171</v>
      </c>
      <c r="B127" t="s">
        <v>27</v>
      </c>
      <c r="C127" t="s">
        <v>276</v>
      </c>
      <c r="D127" t="str">
        <f>HYPERLINK("PDF Output/21796/19 Dec 2021/478270.pdf", "478270")</f>
        <v>478270</v>
      </c>
      <c r="E127" t="s">
        <v>10</v>
      </c>
      <c r="F127" t="s">
        <v>277</v>
      </c>
      <c r="G127" s="15">
        <v>587</v>
      </c>
    </row>
    <row r="128" spans="1:7" hidden="1" x14ac:dyDescent="0.25">
      <c r="A128" s="9" t="s">
        <v>67</v>
      </c>
      <c r="B128" t="s">
        <v>27</v>
      </c>
      <c r="C128" t="s">
        <v>275</v>
      </c>
      <c r="D128" t="str">
        <f>HYPERLINK("PDF Output/21796/14 Dec 2021/21796 24354.pdf", "21796/24354")</f>
        <v>21796/24354</v>
      </c>
      <c r="E128" t="s">
        <v>10</v>
      </c>
      <c r="F128" t="s">
        <v>56</v>
      </c>
      <c r="G128" s="15">
        <v>0</v>
      </c>
    </row>
    <row r="129" spans="1:7" hidden="1" x14ac:dyDescent="0.25">
      <c r="A129" s="9" t="s">
        <v>67</v>
      </c>
      <c r="B129" t="s">
        <v>27</v>
      </c>
      <c r="C129" t="s">
        <v>275</v>
      </c>
      <c r="D129" t="str">
        <f>HYPERLINK("PDF Output/21796/14 Dec 2021/21796 24354.pdf", "21796/24354")</f>
        <v>21796/24354</v>
      </c>
      <c r="E129" t="s">
        <v>10</v>
      </c>
      <c r="F129" t="s">
        <v>29</v>
      </c>
      <c r="G129" s="15">
        <v>0</v>
      </c>
    </row>
    <row r="130" spans="1:7" hidden="1" x14ac:dyDescent="0.25">
      <c r="A130" s="9" t="s">
        <v>171</v>
      </c>
      <c r="B130">
        <v>21796</v>
      </c>
      <c r="C130" t="s">
        <v>276</v>
      </c>
      <c r="D130" t="str">
        <f>HYPERLINK("PDF Output/217962/19 Dec 2021/478180.pdf", "478180")</f>
        <v>478180</v>
      </c>
      <c r="E130" t="s">
        <v>10</v>
      </c>
      <c r="F130" t="s">
        <v>278</v>
      </c>
      <c r="G130" s="15">
        <v>1220</v>
      </c>
    </row>
    <row r="131" spans="1:7" hidden="1" x14ac:dyDescent="0.25">
      <c r="A131" s="9" t="s">
        <v>141</v>
      </c>
      <c r="B131" t="s">
        <v>27</v>
      </c>
      <c r="C131" t="s">
        <v>275</v>
      </c>
      <c r="D131" t="str">
        <f>HYPERLINK("PDF Output/21796/16 Dec 2021/21796 24354.pdf", "21796/24354")</f>
        <v>21796/24354</v>
      </c>
      <c r="E131" t="s">
        <v>10</v>
      </c>
      <c r="F131" t="s">
        <v>30</v>
      </c>
      <c r="G131" s="15">
        <v>0</v>
      </c>
    </row>
    <row r="132" spans="1:7" hidden="1" x14ac:dyDescent="0.25">
      <c r="A132" s="9" t="s">
        <v>174</v>
      </c>
      <c r="B132" t="s">
        <v>27</v>
      </c>
      <c r="C132" t="s">
        <v>275</v>
      </c>
      <c r="D132" t="str">
        <f>HYPERLINK("PDF Output/21796/17 Dec 2021/21796 24354.pdf", "21796/24354")</f>
        <v>21796/24354</v>
      </c>
      <c r="E132" t="s">
        <v>10</v>
      </c>
      <c r="F132" t="s">
        <v>30</v>
      </c>
      <c r="G132" s="15">
        <v>0</v>
      </c>
    </row>
    <row r="133" spans="1:7" hidden="1" x14ac:dyDescent="0.25">
      <c r="A133" s="9" t="s">
        <v>174</v>
      </c>
      <c r="B133" t="s">
        <v>27</v>
      </c>
      <c r="C133" t="s">
        <v>275</v>
      </c>
      <c r="D133" t="str">
        <f>HYPERLINK("PDF Output/21796/17 Dec 2021/21796 24354.pdf", "21796/24354")</f>
        <v>21796/24354</v>
      </c>
      <c r="E133" t="s">
        <v>10</v>
      </c>
      <c r="F133" t="s">
        <v>279</v>
      </c>
      <c r="G133" s="15">
        <v>0</v>
      </c>
    </row>
    <row r="134" spans="1:7" hidden="1" x14ac:dyDescent="0.25">
      <c r="A134" s="9" t="s">
        <v>171</v>
      </c>
      <c r="B134" t="s">
        <v>27</v>
      </c>
      <c r="C134" t="s">
        <v>276</v>
      </c>
      <c r="D134" t="str">
        <f>HYPERLINK("PDF Output/21796/19 Dec 2021/478271.pdf", "478271")</f>
        <v>478271</v>
      </c>
      <c r="E134" t="s">
        <v>10</v>
      </c>
      <c r="F134" t="s">
        <v>280</v>
      </c>
      <c r="G134" s="15">
        <v>1563</v>
      </c>
    </row>
    <row r="135" spans="1:7" hidden="1" x14ac:dyDescent="0.25">
      <c r="A135" s="9" t="s">
        <v>141</v>
      </c>
      <c r="B135" t="s">
        <v>27</v>
      </c>
      <c r="C135" t="s">
        <v>275</v>
      </c>
      <c r="D135" t="str">
        <f>HYPERLINK("PDF Output/21796/16 Dec 2021/21796 24354.pdf", "21796/24354")</f>
        <v>21796/24354</v>
      </c>
      <c r="E135" t="s">
        <v>10</v>
      </c>
      <c r="F135" t="s">
        <v>29</v>
      </c>
      <c r="G135" s="15">
        <v>0</v>
      </c>
    </row>
    <row r="136" spans="1:7" hidden="1" x14ac:dyDescent="0.25">
      <c r="A136" s="9" t="s">
        <v>174</v>
      </c>
      <c r="B136" t="s">
        <v>27</v>
      </c>
      <c r="C136" t="s">
        <v>275</v>
      </c>
      <c r="D136" t="str">
        <f>HYPERLINK("PDF Output/21796/17 Dec 2021/21796 24354.pdf", "21796/24354")</f>
        <v>21796/24354</v>
      </c>
      <c r="E136" t="s">
        <v>10</v>
      </c>
      <c r="F136" t="s">
        <v>31</v>
      </c>
      <c r="G136" s="15">
        <v>0</v>
      </c>
    </row>
    <row r="137" spans="1:7" hidden="1" x14ac:dyDescent="0.25">
      <c r="A137" s="9" t="s">
        <v>174</v>
      </c>
      <c r="B137" t="s">
        <v>27</v>
      </c>
      <c r="C137" t="s">
        <v>275</v>
      </c>
      <c r="D137" t="str">
        <f>HYPERLINK("PDF Output/21796/17 Dec 2021/21796 24354.pdf", "21796/24354")</f>
        <v>21796/24354</v>
      </c>
      <c r="E137" t="s">
        <v>10</v>
      </c>
      <c r="F137" t="s">
        <v>31</v>
      </c>
      <c r="G137" s="15">
        <v>0</v>
      </c>
    </row>
    <row r="138" spans="1:7" hidden="1" x14ac:dyDescent="0.25">
      <c r="A138" s="9">
        <v>44543</v>
      </c>
      <c r="B138" t="s">
        <v>8</v>
      </c>
      <c r="C138" s="4" t="s">
        <v>281</v>
      </c>
      <c r="D138" s="4" t="str">
        <f>HYPERLINK("PDF Output/21785/13 Dec 2021/10547272.pdf", "10547272")</f>
        <v>10547272</v>
      </c>
      <c r="E138" t="s">
        <v>18</v>
      </c>
      <c r="F138" t="s">
        <v>46</v>
      </c>
      <c r="G138" s="15">
        <v>117</v>
      </c>
    </row>
    <row r="139" spans="1:7" hidden="1" x14ac:dyDescent="0.25">
      <c r="A139" s="9">
        <v>44547</v>
      </c>
      <c r="B139" t="s">
        <v>102</v>
      </c>
      <c r="C139" t="s">
        <v>282</v>
      </c>
      <c r="D139" t="str">
        <f>HYPERLINK("PDF Output/21786/17 Dec 2021/1776533.pdf", "1776533")</f>
        <v>1776533</v>
      </c>
      <c r="E139" t="s">
        <v>10</v>
      </c>
      <c r="F139" t="s">
        <v>283</v>
      </c>
      <c r="G139" s="15">
        <v>119</v>
      </c>
    </row>
    <row r="140" spans="1:7" x14ac:dyDescent="0.25">
      <c r="A140" s="9">
        <v>44546</v>
      </c>
      <c r="B140" t="s">
        <v>58</v>
      </c>
      <c r="C140" t="s">
        <v>128</v>
      </c>
      <c r="D140" t="str">
        <f>HYPERLINK("PDF Output/21787/16 Dec 2021/6565597.pdf", "6565597")</f>
        <v>6565597</v>
      </c>
      <c r="E140" t="s">
        <v>18</v>
      </c>
      <c r="F140" t="s">
        <v>284</v>
      </c>
      <c r="G140" s="15">
        <v>818</v>
      </c>
    </row>
    <row r="141" spans="1:7" x14ac:dyDescent="0.25">
      <c r="A141" s="9">
        <v>44551</v>
      </c>
      <c r="B141" t="s">
        <v>58</v>
      </c>
      <c r="C141" t="s">
        <v>82</v>
      </c>
      <c r="D141" t="str">
        <f>HYPERLINK("PDF Output/21787/21 Dec 2021/358718.pdf", "358718")</f>
        <v>358718</v>
      </c>
      <c r="E141" t="s">
        <v>10</v>
      </c>
      <c r="F141" t="s">
        <v>285</v>
      </c>
      <c r="G141" s="15">
        <v>1809</v>
      </c>
    </row>
    <row r="142" spans="1:7" hidden="1" x14ac:dyDescent="0.25">
      <c r="A142" s="9">
        <v>37245</v>
      </c>
      <c r="B142" t="s">
        <v>30</v>
      </c>
      <c r="C142" t="s">
        <v>286</v>
      </c>
      <c r="D142" t="str">
        <f>HYPERLINK("PDF Output/0/20 Dec 2001/CBDU87970.pdf", "CBDU87970")</f>
        <v>CBDU87970</v>
      </c>
      <c r="E142" t="s">
        <v>10</v>
      </c>
      <c r="F142" t="s">
        <v>30</v>
      </c>
      <c r="G142" s="15">
        <v>0</v>
      </c>
    </row>
    <row r="143" spans="1:7" hidden="1" x14ac:dyDescent="0.25">
      <c r="A143" s="9">
        <v>44550</v>
      </c>
      <c r="B143" t="s">
        <v>30</v>
      </c>
      <c r="C143" t="s">
        <v>286</v>
      </c>
      <c r="D143" t="str">
        <f>HYPERLINK("PDF Output/0/20 Dec 2021/CBDU87970.pdf", "CBDU87970")</f>
        <v>CBDU87970</v>
      </c>
      <c r="E143" t="s">
        <v>10</v>
      </c>
      <c r="F143" t="s">
        <v>30</v>
      </c>
      <c r="G143" s="15">
        <v>0</v>
      </c>
    </row>
    <row r="144" spans="1:7" x14ac:dyDescent="0.25">
      <c r="A144" s="9">
        <v>44550</v>
      </c>
      <c r="B144" t="s">
        <v>58</v>
      </c>
      <c r="C144" t="s">
        <v>287</v>
      </c>
      <c r="D144" t="str">
        <f>HYPERLINK("PDF Output/21787/20 Dec 2021/358633.pdf", "358633")</f>
        <v>358633</v>
      </c>
      <c r="E144" t="s">
        <v>10</v>
      </c>
      <c r="F144" t="s">
        <v>288</v>
      </c>
      <c r="G144" s="15">
        <v>468</v>
      </c>
    </row>
    <row r="145" spans="1:7" x14ac:dyDescent="0.25">
      <c r="A145" s="9">
        <v>44550</v>
      </c>
      <c r="B145" t="s">
        <v>58</v>
      </c>
      <c r="C145" t="s">
        <v>287</v>
      </c>
      <c r="D145" t="str">
        <f>HYPERLINK("PDF Output/21787/20 Dec 2021/358660.pdf", "358660")</f>
        <v>358660</v>
      </c>
      <c r="E145" t="s">
        <v>10</v>
      </c>
      <c r="F145" t="s">
        <v>289</v>
      </c>
      <c r="G145" s="15">
        <v>1462</v>
      </c>
    </row>
    <row r="146" spans="1:7" hidden="1" x14ac:dyDescent="0.25">
      <c r="A146" s="9">
        <v>44547</v>
      </c>
      <c r="B146" t="s">
        <v>30</v>
      </c>
      <c r="C146" t="s">
        <v>286</v>
      </c>
      <c r="D146" t="str">
        <f>HYPERLINK("PDF Output/0/17 Dec 2021/CBDU87970.pdf", "CBDU87970")</f>
        <v>CBDU87970</v>
      </c>
      <c r="E146" t="s">
        <v>10</v>
      </c>
      <c r="F146" t="s">
        <v>30</v>
      </c>
      <c r="G146" s="15">
        <v>0</v>
      </c>
    </row>
    <row r="147" spans="1:7" hidden="1" x14ac:dyDescent="0.25">
      <c r="A147" s="9">
        <v>44550</v>
      </c>
      <c r="B147" t="s">
        <v>102</v>
      </c>
      <c r="C147" t="s">
        <v>125</v>
      </c>
      <c r="D147" t="str">
        <f>HYPERLINK("PDF Output/21786/20 Dec 2021/16117642.pdf", "16117642")</f>
        <v>16117642</v>
      </c>
      <c r="E147" t="s">
        <v>10</v>
      </c>
      <c r="F147" t="s">
        <v>290</v>
      </c>
      <c r="G147" s="15">
        <v>650</v>
      </c>
    </row>
    <row r="148" spans="1:7" hidden="1" x14ac:dyDescent="0.25">
      <c r="A148" s="8">
        <v>44546</v>
      </c>
      <c r="B148" s="4" t="s">
        <v>93</v>
      </c>
      <c r="C148" s="4" t="s">
        <v>291</v>
      </c>
      <c r="D148" s="4" t="str">
        <f>HYPERLINK("PDF Output/21781/16 Dec 2021/3631 01141122.pdf", "3631/01141122")</f>
        <v>3631/01141122</v>
      </c>
      <c r="E148" s="4" t="s">
        <v>10</v>
      </c>
      <c r="F148" s="4" t="s">
        <v>292</v>
      </c>
      <c r="G148" s="4">
        <v>164</v>
      </c>
    </row>
    <row r="149" spans="1:7" hidden="1" x14ac:dyDescent="0.25">
      <c r="A149" s="8">
        <v>44543</v>
      </c>
      <c r="B149" s="4" t="s">
        <v>93</v>
      </c>
      <c r="C149" s="4" t="s">
        <v>291</v>
      </c>
      <c r="D149" s="4" t="str">
        <f>HYPERLINK("PDF Output/21781/13 Dec 2021/3631 0114.pdf", "3631/0114")</f>
        <v>3631/0114</v>
      </c>
      <c r="E149" s="4" t="s">
        <v>10</v>
      </c>
      <c r="F149" s="4" t="s">
        <v>293</v>
      </c>
      <c r="G149" s="4">
        <v>53</v>
      </c>
    </row>
    <row r="150" spans="1:7" hidden="1" x14ac:dyDescent="0.25">
      <c r="A150" s="8">
        <v>44561</v>
      </c>
      <c r="B150" s="4" t="s">
        <v>93</v>
      </c>
      <c r="C150" s="4" t="s">
        <v>208</v>
      </c>
      <c r="D150" s="4" t="str">
        <f>HYPERLINK("PDF Output/21781/31 Dec 2021/105836.pdf", "105836")</f>
        <v>105836</v>
      </c>
      <c r="E150" s="4" t="s">
        <v>10</v>
      </c>
      <c r="F150" s="4" t="s">
        <v>46</v>
      </c>
      <c r="G150" s="4">
        <v>252</v>
      </c>
    </row>
    <row r="151" spans="1:7" x14ac:dyDescent="0.25">
      <c r="A151" s="9">
        <v>44552</v>
      </c>
      <c r="B151" t="s">
        <v>58</v>
      </c>
      <c r="C151" t="s">
        <v>82</v>
      </c>
      <c r="D151" t="str">
        <f>HYPERLINK("PDF Output/21787/22 Dec 2021/358793.pdf", "358793")</f>
        <v>358793</v>
      </c>
      <c r="E151" t="s">
        <v>10</v>
      </c>
      <c r="F151" t="s">
        <v>294</v>
      </c>
      <c r="G151" s="15">
        <v>360</v>
      </c>
    </row>
    <row r="152" spans="1:7" x14ac:dyDescent="0.25">
      <c r="A152" s="9">
        <v>44552</v>
      </c>
      <c r="B152" t="s">
        <v>58</v>
      </c>
      <c r="C152" t="s">
        <v>82</v>
      </c>
      <c r="D152" t="str">
        <f>HYPERLINK("PDF Output/21787/22 Dec 2021/358794.pdf", "358794")</f>
        <v>358794</v>
      </c>
      <c r="E152" t="s">
        <v>10</v>
      </c>
      <c r="F152" t="s">
        <v>295</v>
      </c>
      <c r="G152" s="15">
        <v>729</v>
      </c>
    </row>
    <row r="153" spans="1:7" x14ac:dyDescent="0.25">
      <c r="A153" s="9">
        <v>44552</v>
      </c>
      <c r="B153" t="s">
        <v>58</v>
      </c>
      <c r="C153" t="s">
        <v>82</v>
      </c>
      <c r="D153" t="str">
        <f>HYPERLINK("PDF Output/21787/22 Dec 2021/358851.pdf", "358851")</f>
        <v>358851</v>
      </c>
      <c r="E153" t="s">
        <v>10</v>
      </c>
      <c r="F153" t="s">
        <v>296</v>
      </c>
      <c r="G153" s="15">
        <v>455</v>
      </c>
    </row>
    <row r="154" spans="1:7" x14ac:dyDescent="0.25">
      <c r="A154" s="9">
        <v>44552</v>
      </c>
      <c r="B154" t="s">
        <v>58</v>
      </c>
      <c r="C154" t="s">
        <v>297</v>
      </c>
      <c r="D154" t="str">
        <f>HYPERLINK("PDF Output/21787/22 Dec 2021/21787 24193.pdf", "21787/24193")</f>
        <v>21787/24193</v>
      </c>
      <c r="E154" t="s">
        <v>10</v>
      </c>
      <c r="F154" t="s">
        <v>298</v>
      </c>
      <c r="G154" s="15">
        <v>1216</v>
      </c>
    </row>
    <row r="155" spans="1:7" x14ac:dyDescent="0.25">
      <c r="A155" s="9">
        <v>44552</v>
      </c>
      <c r="B155" t="s">
        <v>58</v>
      </c>
      <c r="C155" t="s">
        <v>297</v>
      </c>
      <c r="D155" t="str">
        <f>HYPERLINK("PDF Output/21787/22 Dec 2021/358796.pdf", "358796")</f>
        <v>358796</v>
      </c>
      <c r="E155" t="s">
        <v>10</v>
      </c>
      <c r="F155" t="s">
        <v>298</v>
      </c>
      <c r="G155" s="15">
        <v>1216</v>
      </c>
    </row>
    <row r="156" spans="1:7" x14ac:dyDescent="0.25">
      <c r="A156" s="9">
        <v>44552</v>
      </c>
      <c r="B156" t="s">
        <v>58</v>
      </c>
      <c r="C156" t="s">
        <v>82</v>
      </c>
      <c r="D156" t="str">
        <f>HYPERLINK("PDF Output/21787/22 Dec 2021/21787.pdf", "21787")</f>
        <v>21787</v>
      </c>
      <c r="E156" t="s">
        <v>10</v>
      </c>
      <c r="F156" t="s">
        <v>299</v>
      </c>
      <c r="G156" s="15">
        <v>496</v>
      </c>
    </row>
    <row r="157" spans="1:7" hidden="1" x14ac:dyDescent="0.25">
      <c r="A157" s="9">
        <v>28126</v>
      </c>
      <c r="B157" t="s">
        <v>30</v>
      </c>
      <c r="C157" t="s">
        <v>300</v>
      </c>
      <c r="D157" t="str">
        <f>HYPERLINK("PDF Output/0/01 Jan 1977/16.pdf", "16")</f>
        <v>16</v>
      </c>
      <c r="E157" t="s">
        <v>10</v>
      </c>
      <c r="F157" t="s">
        <v>30</v>
      </c>
      <c r="G157" s="15">
        <v>0</v>
      </c>
    </row>
    <row r="158" spans="1:7" x14ac:dyDescent="0.25">
      <c r="A158" s="9">
        <v>44552</v>
      </c>
      <c r="B158" t="s">
        <v>58</v>
      </c>
      <c r="C158" t="s">
        <v>82</v>
      </c>
      <c r="D158" t="str">
        <f>HYPERLINK("PDF Output/21787/22 Dec 2021/21787 24193.pdf", "21787/24193")</f>
        <v>21787/24193</v>
      </c>
      <c r="E158" t="s">
        <v>10</v>
      </c>
      <c r="F158" t="s">
        <v>298</v>
      </c>
      <c r="G158" s="15">
        <v>1216</v>
      </c>
    </row>
    <row r="159" spans="1:7" x14ac:dyDescent="0.25">
      <c r="A159" s="9">
        <v>44552</v>
      </c>
      <c r="B159" t="s">
        <v>58</v>
      </c>
      <c r="C159" t="s">
        <v>297</v>
      </c>
      <c r="D159" t="str">
        <f>HYPERLINK("PDF Output/21787/22 Dec 2021/358800.pdf", "358800")</f>
        <v>358800</v>
      </c>
      <c r="E159" t="s">
        <v>10</v>
      </c>
      <c r="F159" t="s">
        <v>301</v>
      </c>
      <c r="G159" s="15">
        <v>640</v>
      </c>
    </row>
    <row r="160" spans="1:7" x14ac:dyDescent="0.25">
      <c r="A160" s="9">
        <v>44552</v>
      </c>
      <c r="B160" t="s">
        <v>58</v>
      </c>
      <c r="C160" t="s">
        <v>297</v>
      </c>
      <c r="D160" t="str">
        <f>HYPERLINK("PDF Output/21787/22 Dec 2021/358801.pdf", "358801")</f>
        <v>358801</v>
      </c>
      <c r="E160" t="s">
        <v>10</v>
      </c>
      <c r="F160" t="s">
        <v>302</v>
      </c>
      <c r="G160" s="15">
        <v>1520</v>
      </c>
    </row>
    <row r="161" spans="1:7" x14ac:dyDescent="0.25">
      <c r="A161" s="9">
        <v>44552</v>
      </c>
      <c r="B161" t="s">
        <v>58</v>
      </c>
      <c r="C161" t="s">
        <v>303</v>
      </c>
      <c r="D161" t="str">
        <f>HYPERLINK("PDF Output/21787/22 Dec 2021/40465 21787.pdf", "40465/21787")</f>
        <v>40465/21787</v>
      </c>
      <c r="E161" t="s">
        <v>10</v>
      </c>
      <c r="F161" t="s">
        <v>301</v>
      </c>
      <c r="G161" s="15">
        <v>640</v>
      </c>
    </row>
    <row r="162" spans="1:7" x14ac:dyDescent="0.25">
      <c r="A162" s="9">
        <v>44552</v>
      </c>
      <c r="B162" t="s">
        <v>58</v>
      </c>
      <c r="C162" t="s">
        <v>82</v>
      </c>
      <c r="D162" t="str">
        <f>HYPERLINK("PDF Output/21787/22 Dec 2021/358803.pdf", "358803")</f>
        <v>358803</v>
      </c>
      <c r="E162" t="s">
        <v>10</v>
      </c>
      <c r="F162" t="s">
        <v>301</v>
      </c>
      <c r="G162" s="15">
        <v>640</v>
      </c>
    </row>
    <row r="163" spans="1:7" x14ac:dyDescent="0.25">
      <c r="A163" s="9">
        <v>44552</v>
      </c>
      <c r="B163" t="s">
        <v>58</v>
      </c>
      <c r="C163" t="s">
        <v>82</v>
      </c>
      <c r="D163" t="str">
        <f>HYPERLINK("PDF Output/21787/22 Dec 2021/358804.pdf", "358804")</f>
        <v>358804</v>
      </c>
      <c r="E163" t="s">
        <v>10</v>
      </c>
      <c r="F163" t="s">
        <v>301</v>
      </c>
      <c r="G163" s="15">
        <v>640</v>
      </c>
    </row>
    <row r="164" spans="1:7" x14ac:dyDescent="0.25">
      <c r="A164" s="9">
        <v>44552</v>
      </c>
      <c r="B164" t="s">
        <v>58</v>
      </c>
      <c r="C164" t="s">
        <v>297</v>
      </c>
      <c r="D164" t="str">
        <f>HYPERLINK("PDF Output/21787/22 Dec 2021/21787 24193.pdf", "21787/24193")</f>
        <v>21787/24193</v>
      </c>
      <c r="E164" t="s">
        <v>10</v>
      </c>
      <c r="F164" t="s">
        <v>304</v>
      </c>
      <c r="G164" s="15">
        <v>495</v>
      </c>
    </row>
    <row r="165" spans="1:7" hidden="1" x14ac:dyDescent="0.25">
      <c r="A165" s="9">
        <v>44540</v>
      </c>
      <c r="B165" t="s">
        <v>30</v>
      </c>
      <c r="C165" t="s">
        <v>305</v>
      </c>
      <c r="D165" t="str">
        <f>HYPERLINK("PDF Output/0/10 Dec 2021/390.pdf", "390")</f>
        <v>390</v>
      </c>
      <c r="E165" t="s">
        <v>10</v>
      </c>
      <c r="F165" t="s">
        <v>30</v>
      </c>
      <c r="G165" s="15">
        <v>0</v>
      </c>
    </row>
    <row r="166" spans="1:7" x14ac:dyDescent="0.25">
      <c r="A166" s="9">
        <v>44552</v>
      </c>
      <c r="B166" t="s">
        <v>58</v>
      </c>
      <c r="C166" t="s">
        <v>287</v>
      </c>
      <c r="D166" t="str">
        <f>HYPERLINK("PDF Output/21787/22 Dec 2021/358792.pdf", "358792")</f>
        <v>358792</v>
      </c>
      <c r="E166" t="s">
        <v>10</v>
      </c>
      <c r="F166" t="s">
        <v>294</v>
      </c>
      <c r="G166" s="15">
        <v>360</v>
      </c>
    </row>
    <row r="167" spans="1:7" hidden="1" x14ac:dyDescent="0.25">
      <c r="A167" s="9">
        <v>26299</v>
      </c>
      <c r="B167" t="s">
        <v>30</v>
      </c>
      <c r="C167" t="s">
        <v>305</v>
      </c>
      <c r="D167" t="str">
        <f>HYPERLINK("PDF Output/0/01 Jan 1972/446.pdf", "446")</f>
        <v>446</v>
      </c>
      <c r="E167" t="s">
        <v>10</v>
      </c>
      <c r="F167" t="s">
        <v>30</v>
      </c>
      <c r="G167" s="15">
        <v>0</v>
      </c>
    </row>
    <row r="168" spans="1:7" hidden="1" x14ac:dyDescent="0.25">
      <c r="A168" s="8">
        <v>44561</v>
      </c>
      <c r="B168" s="4" t="s">
        <v>93</v>
      </c>
      <c r="C168" s="4" t="s">
        <v>208</v>
      </c>
      <c r="D168" s="4" t="str">
        <f>HYPERLINK("PDF Output/21781/31 Dec 2021/105837.pdf", "105837")</f>
        <v>105837</v>
      </c>
      <c r="E168" s="4" t="s">
        <v>10</v>
      </c>
      <c r="F168" s="4" t="s">
        <v>306</v>
      </c>
      <c r="G168" s="4">
        <v>110</v>
      </c>
    </row>
    <row r="169" spans="1:7" x14ac:dyDescent="0.25">
      <c r="A169" s="9">
        <v>44550</v>
      </c>
      <c r="B169" t="s">
        <v>58</v>
      </c>
      <c r="C169" t="s">
        <v>241</v>
      </c>
      <c r="D169" t="str">
        <f>HYPERLINK("PDF Output/21787/20 Dec 2021/2 980.pdf", "2 980")</f>
        <v>2 980</v>
      </c>
      <c r="E169" t="s">
        <v>10</v>
      </c>
      <c r="F169" t="s">
        <v>307</v>
      </c>
      <c r="G169" s="15">
        <v>0</v>
      </c>
    </row>
    <row r="170" spans="1:7" hidden="1" x14ac:dyDescent="0.25">
      <c r="A170" s="9">
        <v>44547</v>
      </c>
      <c r="B170" t="s">
        <v>185</v>
      </c>
      <c r="C170" t="s">
        <v>241</v>
      </c>
      <c r="D170" t="str">
        <f>HYPERLINK("PDF Output/19743/17 Dec 2021/9 338.pdf", "9 338")</f>
        <v>9 338</v>
      </c>
      <c r="E170" t="s">
        <v>10</v>
      </c>
      <c r="F170" t="s">
        <v>308</v>
      </c>
      <c r="G170" s="15">
        <v>16</v>
      </c>
    </row>
    <row r="171" spans="1:7" x14ac:dyDescent="0.25">
      <c r="A171" s="9">
        <v>44540</v>
      </c>
      <c r="B171" t="s">
        <v>58</v>
      </c>
      <c r="C171" t="s">
        <v>309</v>
      </c>
      <c r="D171" t="str">
        <f>HYPERLINK("PDF Output/21787/10 Dec 2021/10540284.pdf", "10540284")</f>
        <v>10540284</v>
      </c>
      <c r="E171" t="s">
        <v>18</v>
      </c>
      <c r="F171" t="s">
        <v>46</v>
      </c>
      <c r="G171" s="15">
        <v>45</v>
      </c>
    </row>
    <row r="172" spans="1:7" x14ac:dyDescent="0.25">
      <c r="A172" s="9">
        <v>44546</v>
      </c>
      <c r="B172" t="s">
        <v>58</v>
      </c>
      <c r="C172" t="s">
        <v>309</v>
      </c>
      <c r="D172" t="str">
        <f>HYPERLINK("PDF Output/21787/16 Dec 2021/10555864.pdf", "10555864")</f>
        <v>10555864</v>
      </c>
      <c r="E172" t="s">
        <v>18</v>
      </c>
      <c r="F172" t="s">
        <v>46</v>
      </c>
      <c r="G172" s="15">
        <v>39</v>
      </c>
    </row>
    <row r="173" spans="1:7" hidden="1" x14ac:dyDescent="0.25">
      <c r="A173" s="8">
        <v>44532</v>
      </c>
      <c r="B173" s="4" t="s">
        <v>93</v>
      </c>
      <c r="C173" s="4" t="s">
        <v>310</v>
      </c>
      <c r="D173" s="4" t="str">
        <f>HYPERLINK("PDF Output/21781/02 Dec 2021/0623 00143397.pdf", "0623/00143397")</f>
        <v>0623/00143397</v>
      </c>
      <c r="E173" s="4" t="s">
        <v>10</v>
      </c>
      <c r="F173" s="4" t="s">
        <v>311</v>
      </c>
      <c r="G173" s="4">
        <v>128</v>
      </c>
    </row>
    <row r="174" spans="1:7" hidden="1" x14ac:dyDescent="0.25">
      <c r="A174" s="8">
        <v>44540</v>
      </c>
      <c r="B174" s="4" t="s">
        <v>93</v>
      </c>
      <c r="C174" s="4" t="s">
        <v>291</v>
      </c>
      <c r="D174" s="4" t="str">
        <f>HYPERLINK("PDF Output/21781/10 Dec 2021/3631 01140803.pdf", "3631/01140803")</f>
        <v>3631/01140803</v>
      </c>
      <c r="E174" s="4" t="s">
        <v>10</v>
      </c>
      <c r="F174" s="4" t="s">
        <v>312</v>
      </c>
      <c r="G174" s="4">
        <v>451</v>
      </c>
    </row>
    <row r="175" spans="1:7" hidden="1" x14ac:dyDescent="0.25">
      <c r="A175" s="8">
        <v>44539</v>
      </c>
      <c r="B175" s="4" t="s">
        <v>93</v>
      </c>
      <c r="C175" s="4" t="s">
        <v>291</v>
      </c>
      <c r="D175" s="4" t="str">
        <f>HYPERLINK("PDF Output/21781/09 Dec 2021/3631 01140782.pdf", "3631/01140782")</f>
        <v>3631/01140782</v>
      </c>
      <c r="E175" s="4" t="s">
        <v>10</v>
      </c>
      <c r="F175" s="4" t="s">
        <v>313</v>
      </c>
      <c r="G175" s="4">
        <v>237</v>
      </c>
    </row>
    <row r="176" spans="1:7" hidden="1" x14ac:dyDescent="0.25">
      <c r="A176" s="8">
        <v>44536</v>
      </c>
      <c r="B176" s="4" t="s">
        <v>93</v>
      </c>
      <c r="C176" s="4" t="s">
        <v>291</v>
      </c>
      <c r="D176" s="4" t="str">
        <f>HYPERLINK("PDF Output/21781/06 Dec 2021/3631 01140552.pdf", "3631/01140552")</f>
        <v>3631/01140552</v>
      </c>
      <c r="E176" s="4" t="s">
        <v>10</v>
      </c>
      <c r="F176" s="4" t="s">
        <v>314</v>
      </c>
      <c r="G176" s="4">
        <v>140</v>
      </c>
    </row>
    <row r="177" spans="1:7" hidden="1" x14ac:dyDescent="0.25">
      <c r="A177" s="8">
        <v>44536</v>
      </c>
      <c r="B177" s="4" t="s">
        <v>93</v>
      </c>
      <c r="C177" s="4" t="s">
        <v>291</v>
      </c>
      <c r="D177" s="4" t="str">
        <f>HYPERLINK("PDF Output/21781/06 Dec 2021/3631 01140545.pdf", "3631/01140545")</f>
        <v>3631/01140545</v>
      </c>
      <c r="E177" s="4" t="s">
        <v>10</v>
      </c>
      <c r="F177" s="4" t="s">
        <v>315</v>
      </c>
      <c r="G177" s="4">
        <v>90</v>
      </c>
    </row>
    <row r="178" spans="1:7" x14ac:dyDescent="0.25">
      <c r="A178" s="9">
        <v>44553</v>
      </c>
      <c r="B178" t="s">
        <v>58</v>
      </c>
      <c r="C178" t="s">
        <v>316</v>
      </c>
      <c r="D178" t="str">
        <f>HYPERLINK("PDF Output/21787/23 Dec 2021/137336.pdf", "137336")</f>
        <v>137336</v>
      </c>
      <c r="E178" t="s">
        <v>10</v>
      </c>
      <c r="F178" t="s">
        <v>317</v>
      </c>
      <c r="G178" s="15">
        <v>44</v>
      </c>
    </row>
    <row r="179" spans="1:7" hidden="1" x14ac:dyDescent="0.25">
      <c r="A179" s="9">
        <v>26665</v>
      </c>
      <c r="B179" t="s">
        <v>30</v>
      </c>
      <c r="C179" t="s">
        <v>300</v>
      </c>
      <c r="D179" t="str">
        <f>HYPERLINK("PDF Output/0/01 Jan 1973/16.pdf", "16")</f>
        <v>16</v>
      </c>
      <c r="E179" t="s">
        <v>10</v>
      </c>
      <c r="F179" t="s">
        <v>30</v>
      </c>
      <c r="G179" s="15">
        <v>0</v>
      </c>
    </row>
    <row r="180" spans="1:7" hidden="1" x14ac:dyDescent="0.25">
      <c r="A180" s="9">
        <v>44546</v>
      </c>
      <c r="B180" t="s">
        <v>102</v>
      </c>
      <c r="C180" t="s">
        <v>318</v>
      </c>
      <c r="D180" t="str">
        <f>HYPERLINK("PDF Output/21786/16 Dec 2021/137113.pdf", "137113")</f>
        <v>137113</v>
      </c>
      <c r="E180" t="s">
        <v>10</v>
      </c>
      <c r="F180" t="s">
        <v>319</v>
      </c>
      <c r="G180" s="15">
        <v>161</v>
      </c>
    </row>
    <row r="181" spans="1:7" x14ac:dyDescent="0.25">
      <c r="A181" s="9">
        <v>44546</v>
      </c>
      <c r="B181" t="s">
        <v>58</v>
      </c>
      <c r="C181" t="s">
        <v>217</v>
      </c>
      <c r="D181" t="str">
        <f>HYPERLINK("PDF Output/21787/16 Dec 2021/137110.pdf", "137110")</f>
        <v>137110</v>
      </c>
      <c r="E181" t="s">
        <v>10</v>
      </c>
      <c r="F181" t="s">
        <v>320</v>
      </c>
      <c r="G181" s="15">
        <v>23</v>
      </c>
    </row>
    <row r="182" spans="1:7" x14ac:dyDescent="0.25">
      <c r="A182" s="9">
        <v>44546</v>
      </c>
      <c r="B182" t="s">
        <v>58</v>
      </c>
      <c r="C182" t="s">
        <v>321</v>
      </c>
      <c r="D182" t="str">
        <f>HYPERLINK("PDF Output/21787/16 Dec 2021/137143.pdf", "137143")</f>
        <v>137143</v>
      </c>
      <c r="E182" t="s">
        <v>10</v>
      </c>
      <c r="F182" t="s">
        <v>322</v>
      </c>
      <c r="G182" s="15">
        <v>8</v>
      </c>
    </row>
    <row r="183" spans="1:7" hidden="1" x14ac:dyDescent="0.25">
      <c r="A183" s="8">
        <v>44546</v>
      </c>
      <c r="B183" s="4" t="s">
        <v>93</v>
      </c>
      <c r="C183" s="4" t="s">
        <v>318</v>
      </c>
      <c r="D183" s="4" t="str">
        <f>HYPERLINK("PDF Output/21781/16 Dec 2021/137052.pdf", "137052")</f>
        <v>137052</v>
      </c>
      <c r="E183" s="4" t="s">
        <v>10</v>
      </c>
      <c r="F183" s="4" t="s">
        <v>323</v>
      </c>
      <c r="G183" s="4">
        <v>31</v>
      </c>
    </row>
    <row r="184" spans="1:7" x14ac:dyDescent="0.25">
      <c r="A184" s="9">
        <v>44545</v>
      </c>
      <c r="B184" t="s">
        <v>58</v>
      </c>
      <c r="C184" t="s">
        <v>324</v>
      </c>
      <c r="D184" t="str">
        <f>HYPERLINK("PDF Output/21787/15 Dec 2021/0072 30048160.pdf", "0072/30048160")</f>
        <v>0072/30048160</v>
      </c>
      <c r="E184" t="s">
        <v>10</v>
      </c>
      <c r="F184" t="s">
        <v>325</v>
      </c>
      <c r="G184" s="15">
        <v>101</v>
      </c>
    </row>
    <row r="185" spans="1:7" x14ac:dyDescent="0.25">
      <c r="A185" s="9">
        <v>44544</v>
      </c>
      <c r="B185" t="s">
        <v>58</v>
      </c>
      <c r="C185" t="s">
        <v>324</v>
      </c>
      <c r="D185" t="str">
        <f>HYPERLINK("PDF Output/21787/14 Dec 2021/0072 30048144.pdf", "0072/30048144")</f>
        <v>0072/30048144</v>
      </c>
      <c r="E185" t="s">
        <v>10</v>
      </c>
      <c r="F185" t="s">
        <v>326</v>
      </c>
      <c r="G185" s="15">
        <v>24</v>
      </c>
    </row>
    <row r="186" spans="1:7" hidden="1" x14ac:dyDescent="0.25">
      <c r="A186" s="9">
        <v>44550</v>
      </c>
      <c r="B186" t="s">
        <v>185</v>
      </c>
      <c r="C186" t="s">
        <v>327</v>
      </c>
      <c r="D186" t="str">
        <f>HYPERLINK("PDF Output/19743/20 Dec 2021/S18175063.pdf", "S18175063")</f>
        <v>S18175063</v>
      </c>
      <c r="E186" t="s">
        <v>10</v>
      </c>
      <c r="F186" t="s">
        <v>328</v>
      </c>
      <c r="G186" s="15">
        <v>46</v>
      </c>
    </row>
    <row r="187" spans="1:7" x14ac:dyDescent="0.25">
      <c r="A187" s="9">
        <v>44551</v>
      </c>
      <c r="B187" t="s">
        <v>58</v>
      </c>
      <c r="C187" t="s">
        <v>318</v>
      </c>
      <c r="D187" t="str">
        <f>HYPERLINK("PDF Output/21787/21 Dec 2021/137243.pdf", "137243")</f>
        <v>137243</v>
      </c>
      <c r="E187" t="s">
        <v>10</v>
      </c>
      <c r="F187" t="s">
        <v>329</v>
      </c>
      <c r="G187" s="15">
        <v>14</v>
      </c>
    </row>
    <row r="188" spans="1:7" x14ac:dyDescent="0.25">
      <c r="A188" s="9">
        <v>44551</v>
      </c>
      <c r="B188" t="s">
        <v>58</v>
      </c>
      <c r="C188" t="s">
        <v>318</v>
      </c>
      <c r="D188" t="str">
        <f>HYPERLINK("PDF Output/21787/21 Dec 2021/137228.pdf", "137228")</f>
        <v>137228</v>
      </c>
      <c r="E188" t="s">
        <v>10</v>
      </c>
      <c r="F188" t="s">
        <v>330</v>
      </c>
      <c r="G188" s="15">
        <v>76</v>
      </c>
    </row>
    <row r="189" spans="1:7" hidden="1" x14ac:dyDescent="0.25">
      <c r="A189" s="8">
        <v>44551</v>
      </c>
      <c r="B189" s="4" t="s">
        <v>93</v>
      </c>
      <c r="C189" s="4" t="s">
        <v>318</v>
      </c>
      <c r="D189" s="4" t="str">
        <f>HYPERLINK("PDF Output/21781/21 Dec 2021/137213.pdf", "137213")</f>
        <v>137213</v>
      </c>
      <c r="E189" s="4" t="s">
        <v>10</v>
      </c>
      <c r="F189" s="4" t="s">
        <v>331</v>
      </c>
      <c r="G189" s="4">
        <v>106</v>
      </c>
    </row>
    <row r="190" spans="1:7" hidden="1" x14ac:dyDescent="0.25">
      <c r="A190" s="9">
        <v>44552</v>
      </c>
      <c r="B190" t="s">
        <v>102</v>
      </c>
      <c r="C190" t="s">
        <v>332</v>
      </c>
      <c r="D190" t="str">
        <f>HYPERLINK("PDF Output/21786/22 Dec 2021/INSG0285302.pdf", "INSG0285302")</f>
        <v>INSG0285302</v>
      </c>
      <c r="E190" t="s">
        <v>10</v>
      </c>
      <c r="F190" t="s">
        <v>333</v>
      </c>
      <c r="G190" s="15">
        <v>710</v>
      </c>
    </row>
    <row r="191" spans="1:7" x14ac:dyDescent="0.25">
      <c r="A191" s="9">
        <v>44536</v>
      </c>
      <c r="B191" t="s">
        <v>58</v>
      </c>
      <c r="C191" t="s">
        <v>82</v>
      </c>
      <c r="D191" t="str">
        <f>HYPERLINK("PDF Output/21787/06 Dec 2021/2203 
AIJ268.pdf", "2203 
AIJ268")</f>
        <v>2203 
AIJ268</v>
      </c>
      <c r="E191" t="s">
        <v>10</v>
      </c>
      <c r="F191" t="s">
        <v>334</v>
      </c>
      <c r="G191" s="15">
        <v>3624</v>
      </c>
    </row>
    <row r="192" spans="1:7" x14ac:dyDescent="0.25">
      <c r="A192" s="9">
        <v>44539</v>
      </c>
      <c r="B192" t="s">
        <v>58</v>
      </c>
      <c r="C192" t="s">
        <v>335</v>
      </c>
      <c r="D192" t="str">
        <f>HYPERLINK("PDF Output/21787/09 Dec 2021/2203 
AIJ305.pdf", "2203 
AIJ305")</f>
        <v>2203 
AIJ305</v>
      </c>
      <c r="E192" t="s">
        <v>10</v>
      </c>
      <c r="F192" t="s">
        <v>336</v>
      </c>
      <c r="G192" s="15">
        <v>3465</v>
      </c>
    </row>
    <row r="193" spans="1:7" x14ac:dyDescent="0.25">
      <c r="A193" s="9">
        <v>44543</v>
      </c>
      <c r="B193" t="s">
        <v>58</v>
      </c>
      <c r="C193" t="s">
        <v>82</v>
      </c>
      <c r="D193" t="str">
        <f>HYPERLINK("PDF Output/21787/13 Dec 2021/2203 
AIJ307.pdf", "2203 
AIJ307")</f>
        <v>2203 
AIJ307</v>
      </c>
      <c r="E193" t="s">
        <v>10</v>
      </c>
      <c r="F193" t="s">
        <v>337</v>
      </c>
      <c r="G193" s="15">
        <v>4536</v>
      </c>
    </row>
    <row r="194" spans="1:7" x14ac:dyDescent="0.25">
      <c r="A194" s="9">
        <v>44543</v>
      </c>
      <c r="B194" t="s">
        <v>58</v>
      </c>
      <c r="C194" t="s">
        <v>82</v>
      </c>
      <c r="D194" t="str">
        <f>HYPERLINK("PDF Output/21787/13 Dec 2021/2203 
AIJ307.pdf", "2203 
AIJ307")</f>
        <v>2203 
AIJ307</v>
      </c>
      <c r="E194" t="s">
        <v>10</v>
      </c>
      <c r="F194" t="s">
        <v>338</v>
      </c>
      <c r="G194" s="15">
        <v>3677</v>
      </c>
    </row>
    <row r="195" spans="1:7" x14ac:dyDescent="0.25">
      <c r="A195" s="9">
        <v>44543</v>
      </c>
      <c r="B195" t="s">
        <v>58</v>
      </c>
      <c r="C195" t="s">
        <v>82</v>
      </c>
      <c r="D195" t="str">
        <f>HYPERLINK("PDF Output/21787/13 Dec 2021/2203 
AIJ308.pdf", "2203 
AIJ308")</f>
        <v>2203 
AIJ308</v>
      </c>
      <c r="E195" t="s">
        <v>10</v>
      </c>
      <c r="F195" t="s">
        <v>339</v>
      </c>
      <c r="G195" s="15">
        <v>4783</v>
      </c>
    </row>
    <row r="196" spans="1:7" x14ac:dyDescent="0.25">
      <c r="A196" s="9">
        <v>44543</v>
      </c>
      <c r="B196" t="s">
        <v>58</v>
      </c>
      <c r="C196" t="s">
        <v>82</v>
      </c>
      <c r="D196" t="str">
        <f>HYPERLINK("PDF Output/21787/13 Dec 2021/2203 
AlJ308.pdf", "2203 
AlJ308")</f>
        <v>2203 
AlJ308</v>
      </c>
      <c r="E196" t="s">
        <v>10</v>
      </c>
      <c r="F196" t="s">
        <v>340</v>
      </c>
      <c r="G196" s="15">
        <v>2560</v>
      </c>
    </row>
    <row r="197" spans="1:7" x14ac:dyDescent="0.25">
      <c r="A197" s="9">
        <v>44540</v>
      </c>
      <c r="B197" t="s">
        <v>58</v>
      </c>
      <c r="C197" t="s">
        <v>82</v>
      </c>
      <c r="D197" t="str">
        <f>HYPERLINK("PDF Output/21787/10 Dec 2021/2203 
AIJ309.pdf", "2203 
AIJ309")</f>
        <v>2203 
AIJ309</v>
      </c>
      <c r="E197" t="s">
        <v>10</v>
      </c>
      <c r="F197" t="s">
        <v>337</v>
      </c>
      <c r="G197" s="15">
        <v>4596</v>
      </c>
    </row>
    <row r="198" spans="1:7" x14ac:dyDescent="0.25">
      <c r="A198" s="9">
        <v>44540</v>
      </c>
      <c r="B198" t="s">
        <v>58</v>
      </c>
      <c r="C198" t="s">
        <v>335</v>
      </c>
      <c r="D198" t="str">
        <f>HYPERLINK("PDF Output/21787/10 Dec 2021/2203 
AIJ309.pdf", "2203 
AIJ309")</f>
        <v>2203 
AIJ309</v>
      </c>
      <c r="E198" t="s">
        <v>10</v>
      </c>
      <c r="F198" t="s">
        <v>341</v>
      </c>
      <c r="G198" s="15">
        <v>3826</v>
      </c>
    </row>
    <row r="199" spans="1:7" x14ac:dyDescent="0.25">
      <c r="A199" s="9">
        <v>44538</v>
      </c>
      <c r="B199" t="s">
        <v>58</v>
      </c>
      <c r="C199" t="s">
        <v>342</v>
      </c>
      <c r="D199" t="str">
        <f>HYPERLINK("PDF Output/21787/08 Dec 2021/2203 
AIJ176.pdf", "2203 
AIJ176")</f>
        <v>2203 
AIJ176</v>
      </c>
      <c r="E199" t="s">
        <v>10</v>
      </c>
      <c r="F199" t="s">
        <v>343</v>
      </c>
      <c r="G199" s="15">
        <v>4762</v>
      </c>
    </row>
    <row r="200" spans="1:7" x14ac:dyDescent="0.25">
      <c r="A200" s="9">
        <v>44538</v>
      </c>
      <c r="B200" t="s">
        <v>58</v>
      </c>
      <c r="C200" t="s">
        <v>82</v>
      </c>
      <c r="D200" t="str">
        <f>HYPERLINK("PDF Output/21787/08 Dec 2021/2203 
AIJ176.pdf", "2203 
AIJ176")</f>
        <v>2203 
AIJ176</v>
      </c>
      <c r="E200" t="s">
        <v>10</v>
      </c>
      <c r="F200" t="s">
        <v>344</v>
      </c>
      <c r="G200" s="15">
        <v>3758</v>
      </c>
    </row>
    <row r="201" spans="1:7" hidden="1" x14ac:dyDescent="0.25">
      <c r="A201" s="9">
        <v>44547</v>
      </c>
      <c r="B201" t="s">
        <v>102</v>
      </c>
      <c r="C201" t="s">
        <v>345</v>
      </c>
      <c r="D201" t="str">
        <f>HYPERLINK("PDF Output/21786/17 Dec 2021/0000097021.pdf", "0000097021")</f>
        <v>0000097021</v>
      </c>
      <c r="E201" t="s">
        <v>10</v>
      </c>
      <c r="F201" t="s">
        <v>346</v>
      </c>
      <c r="G201" s="15">
        <v>312</v>
      </c>
    </row>
    <row r="202" spans="1:7" x14ac:dyDescent="0.25">
      <c r="A202" s="9">
        <v>44537</v>
      </c>
      <c r="B202" t="s">
        <v>58</v>
      </c>
      <c r="C202" t="s">
        <v>82</v>
      </c>
      <c r="D202" t="str">
        <f>HYPERLINK("PDF Output/21787/07 Dec 2021/2203 
AIJ174.pdf", "2203 
AIJ174")</f>
        <v>2203 
AIJ174</v>
      </c>
      <c r="E202" t="s">
        <v>10</v>
      </c>
      <c r="F202" t="s">
        <v>347</v>
      </c>
      <c r="G202" s="15">
        <v>3885</v>
      </c>
    </row>
    <row r="203" spans="1:7" hidden="1" x14ac:dyDescent="0.25">
      <c r="A203" s="8">
        <v>44547</v>
      </c>
      <c r="B203" s="4" t="s">
        <v>93</v>
      </c>
      <c r="C203" s="4" t="s">
        <v>342</v>
      </c>
      <c r="D203" s="4" t="str">
        <f>HYPERLINK("PDF Output/21781/17 Dec 2021/1203 
AIJ331.pdf", "1203 
AIJ331")</f>
        <v>1203 
AIJ331</v>
      </c>
      <c r="E203" s="4" t="s">
        <v>10</v>
      </c>
      <c r="F203" s="4" t="s">
        <v>348</v>
      </c>
      <c r="G203" s="4">
        <v>344</v>
      </c>
    </row>
    <row r="204" spans="1:7" x14ac:dyDescent="0.25">
      <c r="A204" s="9">
        <v>44545</v>
      </c>
      <c r="B204" t="s">
        <v>58</v>
      </c>
      <c r="C204" t="s">
        <v>342</v>
      </c>
      <c r="D204" t="str">
        <f>HYPERLINK("PDF Output/21787/15 Dec 2021/1203 
AIJ248.pdf", "1203 
AIJ248")</f>
        <v>1203 
AIJ248</v>
      </c>
      <c r="E204" t="s">
        <v>10</v>
      </c>
      <c r="F204" t="s">
        <v>95</v>
      </c>
      <c r="G204" s="15">
        <v>112</v>
      </c>
    </row>
    <row r="205" spans="1:7" x14ac:dyDescent="0.25">
      <c r="A205" s="9">
        <v>44543</v>
      </c>
      <c r="B205" t="s">
        <v>58</v>
      </c>
      <c r="C205" t="s">
        <v>342</v>
      </c>
      <c r="D205" t="str">
        <f>HYPERLINK("PDF Output/21787/13 Dec 2021/1203 
AIJ151.pdf", "1203 
AIJ151")</f>
        <v>1203 
AIJ151</v>
      </c>
      <c r="E205" t="s">
        <v>10</v>
      </c>
      <c r="F205" t="s">
        <v>99</v>
      </c>
      <c r="G205" s="15">
        <v>197</v>
      </c>
    </row>
    <row r="206" spans="1:7" hidden="1" x14ac:dyDescent="0.25">
      <c r="A206" s="8">
        <v>44561</v>
      </c>
      <c r="B206" s="4" t="s">
        <v>93</v>
      </c>
      <c r="C206" s="4" t="s">
        <v>210</v>
      </c>
      <c r="D206" s="4" t="str">
        <f>HYPERLINK("PDF Output/21781/31 Dec 2021/240553.pdf", "240553")</f>
        <v>240553</v>
      </c>
      <c r="E206" s="4" t="s">
        <v>10</v>
      </c>
      <c r="F206" s="4" t="s">
        <v>349</v>
      </c>
      <c r="G206" s="4">
        <v>48</v>
      </c>
    </row>
    <row r="207" spans="1:7" x14ac:dyDescent="0.25">
      <c r="A207" s="9">
        <v>44561</v>
      </c>
      <c r="B207" t="s">
        <v>58</v>
      </c>
      <c r="C207" t="s">
        <v>281</v>
      </c>
      <c r="D207" t="str">
        <f>HYPERLINK("PDF Output/21787/31 Dec 2021/240552.pdf", "240552")</f>
        <v>240552</v>
      </c>
      <c r="E207" t="s">
        <v>10</v>
      </c>
      <c r="F207" t="s">
        <v>350</v>
      </c>
      <c r="G207" s="15">
        <v>48</v>
      </c>
    </row>
    <row r="208" spans="1:7" x14ac:dyDescent="0.25">
      <c r="A208" s="9">
        <v>44545</v>
      </c>
      <c r="B208" t="s">
        <v>58</v>
      </c>
      <c r="C208" t="s">
        <v>82</v>
      </c>
      <c r="D208" t="str">
        <f>HYPERLINK("PDF Output/21787/15 Dec 2021/3862 AJZ833.pdf", "3862 AJZ833")</f>
        <v>3862 AJZ833</v>
      </c>
      <c r="E208" t="s">
        <v>10</v>
      </c>
      <c r="F208" t="s">
        <v>95</v>
      </c>
      <c r="G208" s="16">
        <v>42</v>
      </c>
    </row>
    <row r="209" spans="1:7" hidden="1" x14ac:dyDescent="0.25">
      <c r="A209" s="9">
        <v>44550</v>
      </c>
      <c r="B209" t="s">
        <v>27</v>
      </c>
      <c r="C209" t="s">
        <v>351</v>
      </c>
      <c r="D209" t="str">
        <f>HYPERLINK("PDF Output/21796/20 Dec 2021/1984975676.pdf", "1984975676")</f>
        <v>1984975676</v>
      </c>
      <c r="E209" t="s">
        <v>10</v>
      </c>
      <c r="F209" t="s">
        <v>352</v>
      </c>
      <c r="G209" s="16">
        <v>751</v>
      </c>
    </row>
    <row r="210" spans="1:7" hidden="1" x14ac:dyDescent="0.25">
      <c r="A210" s="9">
        <v>44553</v>
      </c>
      <c r="B210" t="s">
        <v>22</v>
      </c>
      <c r="C210" t="s">
        <v>353</v>
      </c>
      <c r="D210" t="str">
        <f>HYPERLINK("PDF Output/21797/23 Dec 2021/L731465.pdf", "L731465")</f>
        <v>L731465</v>
      </c>
      <c r="E210" t="s">
        <v>18</v>
      </c>
      <c r="F210" t="s">
        <v>354</v>
      </c>
      <c r="G210" s="16">
        <v>38</v>
      </c>
    </row>
    <row r="211" spans="1:7" hidden="1" x14ac:dyDescent="0.25">
      <c r="A211" s="9">
        <v>44545</v>
      </c>
      <c r="B211" t="s">
        <v>22</v>
      </c>
      <c r="C211" t="s">
        <v>82</v>
      </c>
      <c r="D211" t="str">
        <f>HYPERLINK("PDF Output/21797/Dec 2021/3862 AJZ823.pdf", "3862 AJZ823")</f>
        <v>3862 AJZ823</v>
      </c>
      <c r="E211" t="s">
        <v>10</v>
      </c>
      <c r="F211" t="s">
        <v>95</v>
      </c>
      <c r="G211" s="16">
        <v>56</v>
      </c>
    </row>
    <row r="212" spans="1:7" hidden="1" x14ac:dyDescent="0.25">
      <c r="A212" s="9">
        <v>44547</v>
      </c>
      <c r="B212" t="s">
        <v>27</v>
      </c>
      <c r="C212" t="s">
        <v>355</v>
      </c>
      <c r="D212" t="str">
        <f>HYPERLINK("PDF Output/21796/Dec 2021/2480 ADS411.pdf", "2480 ADS411")</f>
        <v>2480 ADS411</v>
      </c>
      <c r="E212" t="s">
        <v>10</v>
      </c>
      <c r="F212" t="s">
        <v>95</v>
      </c>
      <c r="G212" s="16">
        <v>87</v>
      </c>
    </row>
    <row r="213" spans="1:7" hidden="1" x14ac:dyDescent="0.25">
      <c r="A213" s="9">
        <v>44544</v>
      </c>
      <c r="B213" t="s">
        <v>27</v>
      </c>
      <c r="C213" t="s">
        <v>356</v>
      </c>
      <c r="D213" t="str">
        <f>HYPERLINK("PDF Output/21796/Dec 2021/2480 ADS194.pdf", "2480 ADS194")</f>
        <v>2480 ADS194</v>
      </c>
      <c r="E213" t="s">
        <v>10</v>
      </c>
      <c r="F213" t="s">
        <v>97</v>
      </c>
      <c r="G213" s="16">
        <v>36</v>
      </c>
    </row>
    <row r="214" spans="1:7" hidden="1" x14ac:dyDescent="0.25">
      <c r="A214" s="9">
        <v>44547</v>
      </c>
      <c r="B214" t="s">
        <v>27</v>
      </c>
      <c r="C214" t="s">
        <v>82</v>
      </c>
      <c r="D214" t="str">
        <f>HYPERLINK("PDF Output/21796/Dec 2021/9770 AQL965.pdf", "9770 AQL965")</f>
        <v>9770 AQL965</v>
      </c>
      <c r="E214" t="s">
        <v>10</v>
      </c>
      <c r="F214" t="s">
        <v>357</v>
      </c>
      <c r="G214" s="16">
        <v>2070</v>
      </c>
    </row>
    <row r="215" spans="1:7" hidden="1" x14ac:dyDescent="0.25">
      <c r="A215" s="9">
        <v>44544</v>
      </c>
      <c r="B215" t="s">
        <v>8</v>
      </c>
      <c r="C215" s="4" t="s">
        <v>82</v>
      </c>
      <c r="D215" s="4" t="str">
        <f>HYPERLINK("PDF Output/21785/Dec 2021/9169 APM214.pdf", "9169 APM214")</f>
        <v>9169 APM214</v>
      </c>
      <c r="E215" t="s">
        <v>10</v>
      </c>
      <c r="F215" t="s">
        <v>358</v>
      </c>
      <c r="G215" s="16">
        <v>80</v>
      </c>
    </row>
    <row r="216" spans="1:7" hidden="1" x14ac:dyDescent="0.25">
      <c r="A216" s="9">
        <v>44561</v>
      </c>
      <c r="B216" t="s">
        <v>8</v>
      </c>
      <c r="C216" s="4" t="s">
        <v>359</v>
      </c>
      <c r="D216" s="4" t="str">
        <f>HYPERLINK("PDF Output/21785/Dec 2021/795498.pdf", "795498")</f>
        <v>795498</v>
      </c>
      <c r="E216" t="s">
        <v>10</v>
      </c>
      <c r="F216" t="s">
        <v>360</v>
      </c>
      <c r="G216" s="16">
        <v>105</v>
      </c>
    </row>
    <row r="217" spans="1:7" hidden="1" x14ac:dyDescent="0.25">
      <c r="A217" s="9">
        <v>44552</v>
      </c>
      <c r="B217" t="s">
        <v>27</v>
      </c>
      <c r="C217" t="s">
        <v>351</v>
      </c>
      <c r="D217" t="str">
        <f>HYPERLINK("PDF Output/21796/Dec 2021/1984982150.pdf", "1984982150")</f>
        <v>1984982150</v>
      </c>
      <c r="E217" t="s">
        <v>10</v>
      </c>
      <c r="F217" t="s">
        <v>361</v>
      </c>
      <c r="G217" s="16">
        <v>751</v>
      </c>
    </row>
    <row r="218" spans="1:7" hidden="1" x14ac:dyDescent="0.25">
      <c r="A218" s="9">
        <v>44550</v>
      </c>
      <c r="B218" t="s">
        <v>27</v>
      </c>
      <c r="C218" t="s">
        <v>351</v>
      </c>
      <c r="D218" t="str">
        <f>HYPERLINK("PDF Output/21796/Dec 2021/1984975673.pdf", "1984975673")</f>
        <v>1984975673</v>
      </c>
      <c r="E218" t="s">
        <v>10</v>
      </c>
      <c r="F218" t="s">
        <v>362</v>
      </c>
      <c r="G218" s="16">
        <v>100</v>
      </c>
    </row>
    <row r="219" spans="1:7" hidden="1" x14ac:dyDescent="0.25">
      <c r="A219" s="9">
        <v>44531</v>
      </c>
      <c r="B219" t="s">
        <v>102</v>
      </c>
      <c r="C219" t="s">
        <v>260</v>
      </c>
      <c r="D219" t="str">
        <f>HYPERLINK("PDF Output/21786/Dec 2021/0000097054.pdf", "0000097054")</f>
        <v>0000097054</v>
      </c>
      <c r="E219" t="s">
        <v>10</v>
      </c>
      <c r="F219" t="s">
        <v>363</v>
      </c>
      <c r="G219" s="16">
        <v>195</v>
      </c>
    </row>
    <row r="220" spans="1:7" x14ac:dyDescent="0.25">
      <c r="A220" s="9">
        <v>44552</v>
      </c>
      <c r="B220" t="s">
        <v>58</v>
      </c>
      <c r="C220" t="s">
        <v>82</v>
      </c>
      <c r="D220" t="str">
        <f>HYPERLINK("PDF Output/21787/Dec 2021/79 672 346.pdf", "79 672 346")</f>
        <v>79 672 346</v>
      </c>
      <c r="E220" t="s">
        <v>10</v>
      </c>
      <c r="F220" t="s">
        <v>265</v>
      </c>
      <c r="G220" s="16">
        <v>1941</v>
      </c>
    </row>
    <row r="221" spans="1:7" hidden="1" x14ac:dyDescent="0.25">
      <c r="A221" s="9">
        <v>44547</v>
      </c>
      <c r="B221" t="s">
        <v>185</v>
      </c>
      <c r="C221" t="s">
        <v>364</v>
      </c>
      <c r="D221" t="str">
        <f>HYPERLINK("PDF Output/19743/Dec 2021/4719 AAW538.pdf", "4719 AAW538")</f>
        <v>4719 AAW538</v>
      </c>
      <c r="E221" t="s">
        <v>10</v>
      </c>
      <c r="F221" t="s">
        <v>95</v>
      </c>
      <c r="G221" s="16">
        <v>96</v>
      </c>
    </row>
    <row r="222" spans="1:7" x14ac:dyDescent="0.25">
      <c r="A222" s="9">
        <v>44544</v>
      </c>
      <c r="B222" t="s">
        <v>58</v>
      </c>
      <c r="C222" t="s">
        <v>164</v>
      </c>
      <c r="D222" t="str">
        <f>HYPERLINK("PDF Output/21787/Dec 2021/0587 APZ882.pdf", "0587 APZ882")</f>
        <v>0587 APZ882</v>
      </c>
      <c r="E222" t="s">
        <v>10</v>
      </c>
      <c r="F222" t="s">
        <v>99</v>
      </c>
      <c r="G222" s="16">
        <v>8406</v>
      </c>
    </row>
    <row r="223" spans="1:7" x14ac:dyDescent="0.25">
      <c r="A223" s="9">
        <v>44543</v>
      </c>
      <c r="B223" t="s">
        <v>58</v>
      </c>
      <c r="C223" t="s">
        <v>164</v>
      </c>
      <c r="D223" t="str">
        <f>HYPERLINK("PDF Output/21787/Dec 2021/0587 APZ881.pdf", "0587 APZ881")</f>
        <v>0587 APZ881</v>
      </c>
      <c r="E223" t="s">
        <v>10</v>
      </c>
      <c r="F223" t="s">
        <v>365</v>
      </c>
      <c r="G223" s="16">
        <v>8406</v>
      </c>
    </row>
    <row r="224" spans="1:7" hidden="1" x14ac:dyDescent="0.25">
      <c r="A224" s="9">
        <v>44547</v>
      </c>
      <c r="B224" t="s">
        <v>102</v>
      </c>
      <c r="C224" t="s">
        <v>241</v>
      </c>
      <c r="D224" t="str">
        <f>HYPERLINK("PDF Output/21786/Dec 2021/9270 AQL943.pdf", "9270 AQL943")</f>
        <v>9270 AQL943</v>
      </c>
      <c r="E224" t="s">
        <v>10</v>
      </c>
      <c r="F224" t="s">
        <v>95</v>
      </c>
      <c r="G224" s="16">
        <v>45</v>
      </c>
    </row>
    <row r="225" spans="1:7" hidden="1" x14ac:dyDescent="0.25">
      <c r="A225" s="8">
        <v>44547</v>
      </c>
      <c r="B225" s="4" t="s">
        <v>93</v>
      </c>
      <c r="C225" s="4" t="s">
        <v>164</v>
      </c>
      <c r="D225" s="4" t="str">
        <f>HYPERLINK("PDF Output/21781/Dec 2021/9270 AQL920.pdf", "9270 AQL920")</f>
        <v>9270 AQL920</v>
      </c>
      <c r="E225" s="4" t="s">
        <v>10</v>
      </c>
      <c r="F225" s="4" t="s">
        <v>97</v>
      </c>
      <c r="G225" s="4">
        <v>43</v>
      </c>
    </row>
    <row r="226" spans="1:7" hidden="1" x14ac:dyDescent="0.25">
      <c r="A226" s="9">
        <v>44550</v>
      </c>
      <c r="B226" t="s">
        <v>185</v>
      </c>
      <c r="C226" t="s">
        <v>241</v>
      </c>
      <c r="D226" t="str">
        <f>HYPERLINK("PDF Output/19743/Dec 2021/4719 AAW595.pdf", "4719 AAW595")</f>
        <v>4719 AAW595</v>
      </c>
      <c r="E226" t="s">
        <v>10</v>
      </c>
      <c r="F226" t="s">
        <v>366</v>
      </c>
      <c r="G226" s="16">
        <v>9</v>
      </c>
    </row>
    <row r="227" spans="1:7" hidden="1" x14ac:dyDescent="0.25">
      <c r="A227" s="9">
        <v>44550</v>
      </c>
      <c r="B227" t="s">
        <v>185</v>
      </c>
      <c r="C227" t="s">
        <v>367</v>
      </c>
      <c r="D227" t="str">
        <f>HYPERLINK("PDF Output/19743/Dec 2021/1379 S02894.pdf", "1379 S02894")</f>
        <v>1379 S02894</v>
      </c>
      <c r="E227" t="s">
        <v>10</v>
      </c>
      <c r="F227" t="s">
        <v>368</v>
      </c>
      <c r="G227" s="16">
        <v>9</v>
      </c>
    </row>
    <row r="228" spans="1:7" hidden="1" x14ac:dyDescent="0.25">
      <c r="A228" s="9">
        <v>44550</v>
      </c>
      <c r="B228" t="s">
        <v>185</v>
      </c>
      <c r="C228" t="s">
        <v>367</v>
      </c>
      <c r="D228" t="str">
        <f>HYPERLINK("PDF Output/19743/Dec 2021/1379 S02887.pdf", "1379 S02887")</f>
        <v>1379 S02887</v>
      </c>
      <c r="E228" t="s">
        <v>10</v>
      </c>
      <c r="F228" t="s">
        <v>369</v>
      </c>
      <c r="G228" s="16">
        <v>64</v>
      </c>
    </row>
    <row r="229" spans="1:7" x14ac:dyDescent="0.25">
      <c r="A229" s="9">
        <v>44561</v>
      </c>
      <c r="B229" t="s">
        <v>58</v>
      </c>
      <c r="C229" t="s">
        <v>370</v>
      </c>
      <c r="D229" t="str">
        <f>HYPERLINK("PDF Output/21787/Dec 2021/10573.pdf", "10573")</f>
        <v>10573</v>
      </c>
      <c r="E229" t="s">
        <v>10</v>
      </c>
      <c r="F229" t="s">
        <v>371</v>
      </c>
      <c r="G229" s="16">
        <v>3500</v>
      </c>
    </row>
    <row r="230" spans="1:7" hidden="1" x14ac:dyDescent="0.25">
      <c r="A230" s="8">
        <v>44544</v>
      </c>
      <c r="B230" s="4" t="s">
        <v>93</v>
      </c>
      <c r="C230" s="4" t="s">
        <v>372</v>
      </c>
      <c r="D230" s="4" t="str">
        <f>HYPERLINK("PDF Output/21781/Dec 2021/0623 00144282.pdf", "0623/00144282")</f>
        <v>0623/00144282</v>
      </c>
      <c r="E230" s="4" t="s">
        <v>10</v>
      </c>
      <c r="F230" s="4" t="s">
        <v>373</v>
      </c>
      <c r="G230" s="4">
        <v>178</v>
      </c>
    </row>
    <row r="231" spans="1:7" hidden="1" x14ac:dyDescent="0.25">
      <c r="A231" s="9">
        <v>44565</v>
      </c>
      <c r="B231" t="s">
        <v>30</v>
      </c>
      <c r="C231" t="s">
        <v>374</v>
      </c>
      <c r="D231" t="str">
        <f>HYPERLINK("PDF Output/0/Jan 2022/U2.pdf", "U2")</f>
        <v>U2</v>
      </c>
      <c r="E231" t="s">
        <v>10</v>
      </c>
      <c r="F231" t="s">
        <v>375</v>
      </c>
      <c r="G231" s="16">
        <v>0</v>
      </c>
    </row>
    <row r="232" spans="1:7" x14ac:dyDescent="0.25">
      <c r="A232" s="9">
        <v>44551</v>
      </c>
      <c r="B232" t="s">
        <v>58</v>
      </c>
      <c r="C232" t="s">
        <v>376</v>
      </c>
      <c r="D232" t="str">
        <f>HYPERLINK("PDF Output/21787/Dec 2021/71789697.pdf", "71789697")</f>
        <v>71789697</v>
      </c>
      <c r="E232" t="s">
        <v>10</v>
      </c>
      <c r="F232" t="s">
        <v>377</v>
      </c>
      <c r="G232" s="16">
        <v>66</v>
      </c>
    </row>
    <row r="233" spans="1:7" hidden="1" x14ac:dyDescent="0.25">
      <c r="A233" s="8">
        <v>44544</v>
      </c>
      <c r="B233" s="4" t="s">
        <v>93</v>
      </c>
      <c r="C233" s="4" t="s">
        <v>372</v>
      </c>
      <c r="D233" s="4" t="str">
        <f>HYPERLINK("PDF Output/21781/Dec 2021/0623 00144281.pdf", "0623/00144281")</f>
        <v>0623/00144281</v>
      </c>
      <c r="E233" s="4" t="s">
        <v>10</v>
      </c>
      <c r="F233" s="4" t="s">
        <v>378</v>
      </c>
      <c r="G233" s="4">
        <v>2550</v>
      </c>
    </row>
    <row r="234" spans="1:7" hidden="1" x14ac:dyDescent="0.25">
      <c r="A234" s="8">
        <v>44544</v>
      </c>
      <c r="B234" s="4" t="s">
        <v>93</v>
      </c>
      <c r="C234" s="4" t="s">
        <v>372</v>
      </c>
      <c r="D234" s="4" t="str">
        <f>HYPERLINK("PDF Output/21781/Dec 2021/0623 00144191.pdf", "0623/00144191")</f>
        <v>0623/00144191</v>
      </c>
      <c r="E234" s="4" t="s">
        <v>10</v>
      </c>
      <c r="F234" s="4" t="s">
        <v>379</v>
      </c>
      <c r="G234" s="4">
        <v>357</v>
      </c>
    </row>
    <row r="235" spans="1:7" x14ac:dyDescent="0.25">
      <c r="A235" s="9">
        <v>44550</v>
      </c>
      <c r="B235" t="s">
        <v>58</v>
      </c>
      <c r="C235" t="s">
        <v>164</v>
      </c>
      <c r="D235" t="str">
        <f>HYPERLINK("PDF Output/21787/Dec 2021/0587 AQA091.pdf", "0587 AQA091")</f>
        <v>0587 AQA091</v>
      </c>
      <c r="E235" t="s">
        <v>10</v>
      </c>
      <c r="F235" t="s">
        <v>95</v>
      </c>
      <c r="G235" s="16">
        <v>4628</v>
      </c>
    </row>
    <row r="236" spans="1:7" x14ac:dyDescent="0.25">
      <c r="A236" s="9">
        <v>44551</v>
      </c>
      <c r="B236" t="s">
        <v>58</v>
      </c>
      <c r="C236" t="s">
        <v>164</v>
      </c>
      <c r="D236" t="str">
        <f>HYPERLINK("PDF Output/21787/Dec 2021/0587 AQA090.pdf", "0587 AQA090")</f>
        <v>0587 AQA090</v>
      </c>
      <c r="E236" t="s">
        <v>10</v>
      </c>
      <c r="F236" t="s">
        <v>99</v>
      </c>
      <c r="G236" s="16">
        <v>8406</v>
      </c>
    </row>
    <row r="237" spans="1:7" x14ac:dyDescent="0.25">
      <c r="A237" s="9">
        <v>44547</v>
      </c>
      <c r="B237" t="s">
        <v>58</v>
      </c>
      <c r="C237" t="s">
        <v>164</v>
      </c>
      <c r="D237" t="str">
        <f>HYPERLINK("PDF Output/21787/Dec 2021/0587 APZ983.pdf", "0587 APZ983")</f>
        <v>0587 APZ983</v>
      </c>
      <c r="E237" t="s">
        <v>10</v>
      </c>
      <c r="F237" t="s">
        <v>99</v>
      </c>
      <c r="G237" s="16">
        <v>8406</v>
      </c>
    </row>
    <row r="238" spans="1:7" x14ac:dyDescent="0.25">
      <c r="A238" s="9">
        <v>44553</v>
      </c>
      <c r="B238" t="s">
        <v>58</v>
      </c>
      <c r="C238" t="s">
        <v>82</v>
      </c>
      <c r="D238" t="str">
        <f>HYPERLINK("PDF Output/21787/Dec 2021/MPB 916132 1.pdf", "MPB 916132/1")</f>
        <v>MPB 916132/1</v>
      </c>
      <c r="E238" t="s">
        <v>10</v>
      </c>
      <c r="F238" t="s">
        <v>380</v>
      </c>
      <c r="G238" s="16">
        <v>355</v>
      </c>
    </row>
    <row r="239" spans="1:7" x14ac:dyDescent="0.25">
      <c r="A239" s="9">
        <v>44553</v>
      </c>
      <c r="B239" t="s">
        <v>58</v>
      </c>
      <c r="C239" t="s">
        <v>82</v>
      </c>
      <c r="D239" t="str">
        <f>HYPERLINK("PDF Output/21787/Dec 2021/MPB 916130 1.pdf", "MPB 916130/1")</f>
        <v>MPB 916130/1</v>
      </c>
      <c r="E239" t="s">
        <v>10</v>
      </c>
      <c r="F239" t="s">
        <v>381</v>
      </c>
      <c r="G239" s="16">
        <v>6271</v>
      </c>
    </row>
    <row r="240" spans="1:7" hidden="1" x14ac:dyDescent="0.25">
      <c r="A240" s="9">
        <v>44561</v>
      </c>
      <c r="B240" t="s">
        <v>27</v>
      </c>
      <c r="C240" t="s">
        <v>9</v>
      </c>
      <c r="D240" t="str">
        <f>HYPERLINK("PDF Output/21796/Dec 2021/76070.pdf", "76070")</f>
        <v>76070</v>
      </c>
      <c r="E240" t="s">
        <v>18</v>
      </c>
      <c r="F240" t="s">
        <v>382</v>
      </c>
      <c r="G240" s="16">
        <v>128</v>
      </c>
    </row>
    <row r="241" spans="1:7" hidden="1" x14ac:dyDescent="0.25">
      <c r="A241" s="9">
        <v>44561</v>
      </c>
      <c r="B241" t="s">
        <v>27</v>
      </c>
      <c r="C241" t="s">
        <v>9</v>
      </c>
      <c r="D241" t="str">
        <f>HYPERLINK("PDF Output/21796/Dec 2021/40044 21796.pdf", "40044/21796")</f>
        <v>40044/21796</v>
      </c>
      <c r="E241" t="s">
        <v>18</v>
      </c>
      <c r="F241" t="s">
        <v>383</v>
      </c>
      <c r="G241" s="16">
        <v>96</v>
      </c>
    </row>
    <row r="242" spans="1:7" hidden="1" x14ac:dyDescent="0.25">
      <c r="A242" s="9">
        <v>44561</v>
      </c>
      <c r="B242" t="s">
        <v>27</v>
      </c>
      <c r="C242" t="s">
        <v>384</v>
      </c>
      <c r="D242" t="str">
        <f>HYPERLINK("PDF Output/21796/Dec 2021/1000525553.pdf", "1000525553")</f>
        <v>1000525553</v>
      </c>
      <c r="E242" t="s">
        <v>10</v>
      </c>
      <c r="F242" t="s">
        <v>385</v>
      </c>
      <c r="G242" s="16">
        <v>1040</v>
      </c>
    </row>
    <row r="243" spans="1:7" hidden="1" x14ac:dyDescent="0.25">
      <c r="A243" s="9">
        <v>44561</v>
      </c>
      <c r="B243" t="s">
        <v>27</v>
      </c>
      <c r="C243" t="s">
        <v>384</v>
      </c>
      <c r="D243" t="str">
        <f>HYPERLINK("PDF Output/21796/Dec 2021/1000525552.pdf", "1000525552")</f>
        <v>1000525552</v>
      </c>
      <c r="E243" t="s">
        <v>10</v>
      </c>
      <c r="F243" t="s">
        <v>386</v>
      </c>
      <c r="G243" s="16">
        <v>2388</v>
      </c>
    </row>
    <row r="244" spans="1:7" hidden="1" x14ac:dyDescent="0.25">
      <c r="A244" s="9">
        <v>44561</v>
      </c>
      <c r="B244" t="s">
        <v>8</v>
      </c>
      <c r="C244" s="4" t="s">
        <v>387</v>
      </c>
      <c r="D244" s="4" t="str">
        <f>HYPERLINK("PDF Output/21785/Dec 2021/1000523475.pdf", "1000523475")</f>
        <v>1000523475</v>
      </c>
      <c r="E244" t="s">
        <v>10</v>
      </c>
      <c r="F244" t="s">
        <v>385</v>
      </c>
      <c r="G244" s="16">
        <v>1216</v>
      </c>
    </row>
    <row r="245" spans="1:7" hidden="1" x14ac:dyDescent="0.25">
      <c r="A245" s="9">
        <v>44561</v>
      </c>
      <c r="B245" t="s">
        <v>8</v>
      </c>
      <c r="C245" s="4" t="s">
        <v>387</v>
      </c>
      <c r="D245" s="4" t="str">
        <f>HYPERLINK("PDF Output/21785/Dec 2021/1000523476.pdf", "1000523476")</f>
        <v>1000523476</v>
      </c>
      <c r="E245" t="s">
        <v>10</v>
      </c>
      <c r="F245" t="s">
        <v>388</v>
      </c>
      <c r="G245" s="16">
        <v>576</v>
      </c>
    </row>
    <row r="246" spans="1:7" hidden="1" x14ac:dyDescent="0.25">
      <c r="A246" s="9">
        <v>44561</v>
      </c>
      <c r="B246" t="s">
        <v>8</v>
      </c>
      <c r="C246" s="4" t="s">
        <v>387</v>
      </c>
      <c r="D246" s="4" t="str">
        <f>HYPERLINK("PDF Output/21785/Dec 2021/1000523477.pdf", "1000523477")</f>
        <v>1000523477</v>
      </c>
      <c r="E246" t="s">
        <v>10</v>
      </c>
      <c r="F246" t="s">
        <v>389</v>
      </c>
      <c r="G246" s="16">
        <v>2016</v>
      </c>
    </row>
    <row r="247" spans="1:7" hidden="1" x14ac:dyDescent="0.25">
      <c r="A247" s="9">
        <v>44561</v>
      </c>
      <c r="B247" t="s">
        <v>8</v>
      </c>
      <c r="C247" s="4" t="s">
        <v>387</v>
      </c>
      <c r="D247" s="4" t="str">
        <f>HYPERLINK("PDF Output/21785/Dec 2021/1000523478.pdf", "1000523478")</f>
        <v>1000523478</v>
      </c>
      <c r="E247" t="s">
        <v>10</v>
      </c>
      <c r="F247" t="s">
        <v>390</v>
      </c>
      <c r="G247" s="16">
        <v>934</v>
      </c>
    </row>
    <row r="248" spans="1:7" hidden="1" x14ac:dyDescent="0.25">
      <c r="A248" s="9">
        <v>44561</v>
      </c>
      <c r="B248" t="s">
        <v>8</v>
      </c>
      <c r="C248" s="4" t="s">
        <v>387</v>
      </c>
      <c r="D248" s="4" t="str">
        <f>HYPERLINK("PDF Output/21785/Dec 2021/1000523479.pdf", "1000523479")</f>
        <v>1000523479</v>
      </c>
      <c r="E248" t="s">
        <v>10</v>
      </c>
      <c r="F248" t="s">
        <v>391</v>
      </c>
      <c r="G248" s="16">
        <v>129</v>
      </c>
    </row>
    <row r="249" spans="1:7" hidden="1" x14ac:dyDescent="0.25">
      <c r="A249" s="9">
        <v>44561</v>
      </c>
      <c r="B249" t="s">
        <v>8</v>
      </c>
      <c r="C249" s="4" t="s">
        <v>387</v>
      </c>
      <c r="D249" s="4" t="str">
        <f>HYPERLINK("PDF Output/21785/Dec 2021/1000523480.pdf", "1000523480")</f>
        <v>1000523480</v>
      </c>
      <c r="E249" t="s">
        <v>10</v>
      </c>
      <c r="F249" t="s">
        <v>392</v>
      </c>
      <c r="G249" s="16">
        <v>1749</v>
      </c>
    </row>
    <row r="250" spans="1:7" hidden="1" x14ac:dyDescent="0.25">
      <c r="A250" s="9">
        <v>44561</v>
      </c>
      <c r="B250" t="s">
        <v>8</v>
      </c>
      <c r="C250" s="4" t="s">
        <v>387</v>
      </c>
      <c r="D250" s="4" t="str">
        <f>HYPERLINK("PDF Output/21785/Dec 2021/1000523481.pdf", "1000523481")</f>
        <v>1000523481</v>
      </c>
      <c r="E250" t="s">
        <v>10</v>
      </c>
      <c r="F250" t="s">
        <v>385</v>
      </c>
      <c r="G250" s="16">
        <v>1040</v>
      </c>
    </row>
    <row r="251" spans="1:7" hidden="1" x14ac:dyDescent="0.25">
      <c r="A251" s="9">
        <v>44561</v>
      </c>
      <c r="B251" t="s">
        <v>8</v>
      </c>
      <c r="C251" s="4" t="s">
        <v>387</v>
      </c>
      <c r="D251" s="4" t="str">
        <f>HYPERLINK("PDF Output/21785/Dec 2021/1000523474.pdf", "1000523474")</f>
        <v>1000523474</v>
      </c>
      <c r="E251" t="s">
        <v>10</v>
      </c>
      <c r="F251" t="s">
        <v>393</v>
      </c>
      <c r="G251" s="16">
        <v>1282</v>
      </c>
    </row>
    <row r="252" spans="1:7" hidden="1" x14ac:dyDescent="0.25">
      <c r="G252" s="16"/>
    </row>
    <row r="253" spans="1:7" hidden="1" x14ac:dyDescent="0.25">
      <c r="G253" s="16"/>
    </row>
    <row r="254" spans="1:7" hidden="1" x14ac:dyDescent="0.25">
      <c r="A254" s="9">
        <v>44561</v>
      </c>
      <c r="C254" t="s">
        <v>394</v>
      </c>
      <c r="D254" t="str">
        <f>HYPERLINK("PDF Output//Dec 2021/INV-01847.pdf", "INV-01847")</f>
        <v>INV-01847</v>
      </c>
      <c r="E254" t="s">
        <v>10</v>
      </c>
      <c r="F254" t="s">
        <v>395</v>
      </c>
      <c r="G254" s="16">
        <v>2000</v>
      </c>
    </row>
    <row r="255" spans="1:7" hidden="1" x14ac:dyDescent="0.25">
      <c r="A255" s="9">
        <v>44561</v>
      </c>
      <c r="B255" t="s">
        <v>102</v>
      </c>
      <c r="C255" t="s">
        <v>396</v>
      </c>
      <c r="D255" t="str">
        <f>HYPERLINK("PDF Output/21786/Dec 2021/2829.pdf", "2829")</f>
        <v>2829</v>
      </c>
      <c r="E255" t="s">
        <v>10</v>
      </c>
      <c r="F255" t="s">
        <v>397</v>
      </c>
      <c r="G255" s="16">
        <v>0</v>
      </c>
    </row>
    <row r="256" spans="1:7" hidden="1" x14ac:dyDescent="0.25">
      <c r="A256" s="9">
        <v>44561</v>
      </c>
      <c r="B256" t="s">
        <v>102</v>
      </c>
      <c r="C256" t="s">
        <v>133</v>
      </c>
      <c r="D256" t="str">
        <f>HYPERLINK("PDF Output/21786/Dec 2021/1000523814.pdf", "1000523814")</f>
        <v>1000523814</v>
      </c>
      <c r="E256" t="s">
        <v>10</v>
      </c>
      <c r="F256" t="s">
        <v>398</v>
      </c>
      <c r="G256" s="16">
        <v>154</v>
      </c>
    </row>
    <row r="257" spans="1:7" hidden="1" x14ac:dyDescent="0.25">
      <c r="A257" s="9">
        <v>44561</v>
      </c>
      <c r="B257" t="s">
        <v>102</v>
      </c>
      <c r="C257" t="s">
        <v>133</v>
      </c>
      <c r="D257" t="str">
        <f>HYPERLINK("PDF Output/21786/Dec 2021/1000523813.pdf", "1000523813")</f>
        <v>1000523813</v>
      </c>
      <c r="E257" t="s">
        <v>10</v>
      </c>
      <c r="F257" t="s">
        <v>399</v>
      </c>
      <c r="G257" s="16">
        <v>42</v>
      </c>
    </row>
    <row r="258" spans="1:7" hidden="1" x14ac:dyDescent="0.25">
      <c r="A258" s="8">
        <v>44561</v>
      </c>
      <c r="B258" s="4">
        <v>21781</v>
      </c>
      <c r="C258" s="4" t="s">
        <v>133</v>
      </c>
      <c r="D258" s="4" t="str">
        <f>HYPERLINK("PDF Output/21871/Dec 2021/1000523812.pdf", "1000523812")</f>
        <v>1000523812</v>
      </c>
      <c r="E258" s="4" t="s">
        <v>10</v>
      </c>
      <c r="F258" s="4" t="s">
        <v>400</v>
      </c>
      <c r="G258" s="4">
        <v>64</v>
      </c>
    </row>
    <row r="259" spans="1:7" hidden="1" x14ac:dyDescent="0.25">
      <c r="A259" s="8">
        <v>44561</v>
      </c>
      <c r="B259" s="4" t="s">
        <v>93</v>
      </c>
      <c r="C259" s="4" t="s">
        <v>133</v>
      </c>
      <c r="D259" s="10" t="str">
        <f>HYPERLINK("PDF Output/21781/Dec 2021/1000523819.pdf", "1000523819")</f>
        <v>1000523819</v>
      </c>
      <c r="E259" s="4" t="s">
        <v>10</v>
      </c>
      <c r="F259" s="4" t="s">
        <v>401</v>
      </c>
      <c r="G259" s="4">
        <v>161</v>
      </c>
    </row>
    <row r="260" spans="1:7" hidden="1" x14ac:dyDescent="0.25">
      <c r="A260" s="9">
        <v>44561</v>
      </c>
      <c r="B260" t="s">
        <v>102</v>
      </c>
      <c r="C260" t="s">
        <v>133</v>
      </c>
      <c r="D260" t="str">
        <f>HYPERLINK("PDF Output/21786/Dec 2021/1000523818.pdf", "1000523818")</f>
        <v>1000523818</v>
      </c>
      <c r="E260" t="s">
        <v>10</v>
      </c>
      <c r="F260" t="s">
        <v>402</v>
      </c>
      <c r="G260" s="16">
        <v>576</v>
      </c>
    </row>
    <row r="261" spans="1:7" hidden="1" x14ac:dyDescent="0.25">
      <c r="A261" s="8">
        <v>44561</v>
      </c>
      <c r="B261" s="4" t="s">
        <v>93</v>
      </c>
      <c r="C261" s="4" t="s">
        <v>133</v>
      </c>
      <c r="D261" s="4" t="str">
        <f>HYPERLINK("PDF Output/21781/Dec 2021/1000523817.pdf", "1000523817")</f>
        <v>1000523817</v>
      </c>
      <c r="E261" s="4" t="s">
        <v>10</v>
      </c>
      <c r="F261" s="4" t="s">
        <v>403</v>
      </c>
      <c r="G261" s="4">
        <v>187</v>
      </c>
    </row>
    <row r="262" spans="1:7" x14ac:dyDescent="0.25">
      <c r="A262" s="9">
        <v>44565</v>
      </c>
      <c r="B262" t="s">
        <v>58</v>
      </c>
      <c r="C262" t="s">
        <v>404</v>
      </c>
      <c r="D262" t="str">
        <f>HYPERLINK("PDF Output/21787/Jan 2022/A10011.pdf", "A10011")</f>
        <v>A10011</v>
      </c>
      <c r="E262" t="s">
        <v>10</v>
      </c>
      <c r="F262" t="s">
        <v>405</v>
      </c>
      <c r="G262" s="16">
        <v>102</v>
      </c>
    </row>
    <row r="263" spans="1:7" hidden="1" x14ac:dyDescent="0.25">
      <c r="A263" s="9">
        <v>44552</v>
      </c>
      <c r="B263" t="s">
        <v>102</v>
      </c>
      <c r="C263" t="s">
        <v>240</v>
      </c>
      <c r="D263" t="str">
        <f>HYPERLINK("PDF Output/21786/Dec 2021/10573738.pdf", "10573738")</f>
        <v>10573738</v>
      </c>
      <c r="E263" t="s">
        <v>18</v>
      </c>
      <c r="F263" t="s">
        <v>238</v>
      </c>
      <c r="G263" s="16">
        <v>147</v>
      </c>
    </row>
    <row r="264" spans="1:7" x14ac:dyDescent="0.25">
      <c r="A264" s="9">
        <v>44551</v>
      </c>
      <c r="B264" t="s">
        <v>58</v>
      </c>
      <c r="C264" t="s">
        <v>240</v>
      </c>
      <c r="D264" t="str">
        <f>HYPERLINK("PDF Output/21787/Dec 2021/10570267.pdf", "10570267")</f>
        <v>10570267</v>
      </c>
      <c r="E264" t="s">
        <v>10</v>
      </c>
      <c r="F264" t="s">
        <v>406</v>
      </c>
      <c r="G264" s="16">
        <v>32</v>
      </c>
    </row>
    <row r="265" spans="1:7" x14ac:dyDescent="0.25">
      <c r="A265" s="9">
        <v>44551</v>
      </c>
      <c r="B265" t="s">
        <v>58</v>
      </c>
      <c r="C265" t="s">
        <v>240</v>
      </c>
      <c r="D265" t="str">
        <f>HYPERLINK("PDF Output/21787/Dec 2021/10570266.pdf", "10570266")</f>
        <v>10570266</v>
      </c>
      <c r="E265" t="s">
        <v>10</v>
      </c>
      <c r="F265" t="s">
        <v>407</v>
      </c>
      <c r="G265" s="16">
        <v>95</v>
      </c>
    </row>
    <row r="266" spans="1:7" x14ac:dyDescent="0.25">
      <c r="A266" s="9">
        <v>44561</v>
      </c>
      <c r="B266" t="s">
        <v>58</v>
      </c>
      <c r="C266" t="s">
        <v>9</v>
      </c>
      <c r="D266" t="str">
        <f>HYPERLINK("PDF Output/21787/Dec 2021/76068.pdf", "76068")</f>
        <v>76068</v>
      </c>
      <c r="E266" t="s">
        <v>18</v>
      </c>
      <c r="F266" t="s">
        <v>408</v>
      </c>
      <c r="G266" s="16">
        <v>144</v>
      </c>
    </row>
    <row r="267" spans="1:7" x14ac:dyDescent="0.25">
      <c r="A267" s="9">
        <v>44551</v>
      </c>
      <c r="B267" t="s">
        <v>58</v>
      </c>
      <c r="C267" t="s">
        <v>240</v>
      </c>
      <c r="D267" t="str">
        <f>HYPERLINK("PDF Output/21787/Dec 2021/10570265.pdf", "10570265")</f>
        <v>10570265</v>
      </c>
      <c r="E267" t="s">
        <v>10</v>
      </c>
      <c r="F267" t="s">
        <v>46</v>
      </c>
      <c r="G267" s="16">
        <v>70</v>
      </c>
    </row>
    <row r="268" spans="1:7" x14ac:dyDescent="0.25">
      <c r="A268" s="9">
        <v>44551</v>
      </c>
      <c r="B268" t="s">
        <v>58</v>
      </c>
      <c r="C268" t="s">
        <v>409</v>
      </c>
      <c r="D268" t="str">
        <f>HYPERLINK("PDF Output/21787/Dec 2021/10570264.pdf", "10570264")</f>
        <v>10570264</v>
      </c>
      <c r="E268" t="s">
        <v>10</v>
      </c>
      <c r="F268" t="s">
        <v>410</v>
      </c>
      <c r="G268" s="16">
        <v>494</v>
      </c>
    </row>
    <row r="269" spans="1:7" x14ac:dyDescent="0.25">
      <c r="A269" s="9">
        <v>44551</v>
      </c>
      <c r="B269" t="s">
        <v>58</v>
      </c>
      <c r="C269" t="s">
        <v>411</v>
      </c>
      <c r="D269" t="str">
        <f>HYPERLINK("PDF Output/21787/Dec 2021/10570263.pdf", "10570263")</f>
        <v>10570263</v>
      </c>
      <c r="E269" t="s">
        <v>10</v>
      </c>
      <c r="F269" t="s">
        <v>46</v>
      </c>
      <c r="G269" s="16">
        <v>101</v>
      </c>
    </row>
    <row r="270" spans="1:7" x14ac:dyDescent="0.25">
      <c r="A270" s="9">
        <v>44551</v>
      </c>
      <c r="B270" t="s">
        <v>58</v>
      </c>
      <c r="C270" t="s">
        <v>412</v>
      </c>
      <c r="D270" t="str">
        <f>HYPERLINK("PDF Output/21787/Dec 2021/10570262.pdf", "10570262")</f>
        <v>10570262</v>
      </c>
      <c r="E270" t="s">
        <v>10</v>
      </c>
      <c r="F270" t="s">
        <v>413</v>
      </c>
      <c r="G270" s="16">
        <v>3</v>
      </c>
    </row>
    <row r="271" spans="1:7" x14ac:dyDescent="0.25">
      <c r="A271" s="9">
        <v>44551</v>
      </c>
      <c r="B271" t="s">
        <v>58</v>
      </c>
      <c r="C271" t="s">
        <v>240</v>
      </c>
      <c r="D271" t="str">
        <f>HYPERLINK("PDF Output/21787/Dec 2021/10570261.pdf", "10570261")</f>
        <v>10570261</v>
      </c>
      <c r="E271" t="s">
        <v>10</v>
      </c>
      <c r="F271" t="s">
        <v>414</v>
      </c>
      <c r="G271" s="16">
        <v>279</v>
      </c>
    </row>
    <row r="272" spans="1:7" x14ac:dyDescent="0.25">
      <c r="A272" s="9">
        <v>44551</v>
      </c>
      <c r="B272" t="s">
        <v>58</v>
      </c>
      <c r="C272" t="s">
        <v>240</v>
      </c>
      <c r="D272" t="str">
        <f>HYPERLINK("PDF Output/21787/Dec 2021/10570260.pdf", "10570260")</f>
        <v>10570260</v>
      </c>
      <c r="E272" t="s">
        <v>10</v>
      </c>
      <c r="F272" t="s">
        <v>46</v>
      </c>
      <c r="G272" s="16">
        <v>70</v>
      </c>
    </row>
    <row r="273" spans="1:7" x14ac:dyDescent="0.25">
      <c r="A273" s="9">
        <v>44551</v>
      </c>
      <c r="B273" t="s">
        <v>58</v>
      </c>
      <c r="C273" t="s">
        <v>415</v>
      </c>
      <c r="D273" t="str">
        <f>HYPERLINK("PDF Output/21787/Dec 2021/10570259.pdf", "10570259")</f>
        <v>10570259</v>
      </c>
      <c r="E273" t="s">
        <v>10</v>
      </c>
      <c r="F273" t="s">
        <v>238</v>
      </c>
      <c r="G273" s="16">
        <v>272</v>
      </c>
    </row>
    <row r="274" spans="1:7" x14ac:dyDescent="0.25">
      <c r="A274" s="9">
        <v>44551</v>
      </c>
      <c r="B274" t="s">
        <v>58</v>
      </c>
      <c r="C274" t="s">
        <v>240</v>
      </c>
      <c r="D274" t="str">
        <f>HYPERLINK("PDF Output/21787/Dec 2021/10570258.pdf", "10570258")</f>
        <v>10570258</v>
      </c>
      <c r="E274" t="s">
        <v>10</v>
      </c>
      <c r="F274" t="s">
        <v>238</v>
      </c>
      <c r="G274" s="16">
        <v>158</v>
      </c>
    </row>
    <row r="275" spans="1:7" hidden="1" x14ac:dyDescent="0.25">
      <c r="A275" s="8">
        <v>44550</v>
      </c>
      <c r="B275" s="4" t="s">
        <v>93</v>
      </c>
      <c r="C275" s="4" t="s">
        <v>416</v>
      </c>
      <c r="D275" s="4" t="str">
        <f>HYPERLINK("PDF Output/21781/Dec 2021/3631 01141212.pdf", "3631/01141212")</f>
        <v>3631/01141212</v>
      </c>
      <c r="E275" s="4" t="s">
        <v>10</v>
      </c>
      <c r="F275" s="4" t="s">
        <v>417</v>
      </c>
      <c r="G275" s="4">
        <v>61</v>
      </c>
    </row>
    <row r="276" spans="1:7" x14ac:dyDescent="0.25">
      <c r="A276" s="9">
        <v>44561</v>
      </c>
      <c r="B276" t="s">
        <v>58</v>
      </c>
      <c r="C276" t="s">
        <v>9</v>
      </c>
      <c r="D276" t="str">
        <f>HYPERLINK("PDF Output/21787/Dec 2021/76067.pdf", "76067")</f>
        <v>76067</v>
      </c>
      <c r="E276" t="s">
        <v>18</v>
      </c>
      <c r="F276" t="s">
        <v>418</v>
      </c>
      <c r="G276" s="16">
        <v>80</v>
      </c>
    </row>
    <row r="277" spans="1:7" x14ac:dyDescent="0.25">
      <c r="A277" s="9">
        <v>44561</v>
      </c>
      <c r="B277" t="s">
        <v>58</v>
      </c>
      <c r="C277" t="s">
        <v>9</v>
      </c>
      <c r="D277" t="str">
        <f>HYPERLINK("PDF Output/21787/Dec 2021/76066.pdf", "76066")</f>
        <v>76066</v>
      </c>
      <c r="E277" t="s">
        <v>18</v>
      </c>
      <c r="F277" t="s">
        <v>419</v>
      </c>
      <c r="G277" s="16">
        <v>624</v>
      </c>
    </row>
    <row r="278" spans="1:7" x14ac:dyDescent="0.25">
      <c r="A278" s="9">
        <v>44561</v>
      </c>
      <c r="B278" t="s">
        <v>58</v>
      </c>
      <c r="C278" t="s">
        <v>9</v>
      </c>
      <c r="D278" t="str">
        <f>HYPERLINK("PDF Output/21787/Dec 2021/76065.pdf", "76065")</f>
        <v>76065</v>
      </c>
      <c r="E278" t="s">
        <v>18</v>
      </c>
      <c r="F278" t="s">
        <v>420</v>
      </c>
      <c r="G278" s="16">
        <v>128</v>
      </c>
    </row>
    <row r="279" spans="1:7" x14ac:dyDescent="0.25">
      <c r="A279" s="9">
        <v>44561</v>
      </c>
      <c r="B279" t="s">
        <v>58</v>
      </c>
      <c r="C279" t="s">
        <v>9</v>
      </c>
      <c r="D279" t="str">
        <f>HYPERLINK("PDF Output/21787/Dec 2021/76064.pdf", "76064")</f>
        <v>76064</v>
      </c>
      <c r="E279" t="s">
        <v>18</v>
      </c>
      <c r="F279" t="s">
        <v>421</v>
      </c>
      <c r="G279" s="16">
        <v>336</v>
      </c>
    </row>
    <row r="280" spans="1:7" hidden="1" x14ac:dyDescent="0.25">
      <c r="A280" s="8">
        <v>44561</v>
      </c>
      <c r="B280" s="4" t="s">
        <v>93</v>
      </c>
      <c r="C280" s="4" t="s">
        <v>9</v>
      </c>
      <c r="D280" s="4" t="str">
        <f>HYPERLINK("PDF Output/21781/Dec 2021/76061.pdf", "76061")</f>
        <v>76061</v>
      </c>
      <c r="E280" s="4" t="s">
        <v>18</v>
      </c>
      <c r="F280" s="4" t="s">
        <v>422</v>
      </c>
      <c r="G280" s="4">
        <v>70</v>
      </c>
    </row>
    <row r="281" spans="1:7" hidden="1" x14ac:dyDescent="0.25">
      <c r="A281" s="8">
        <v>44561</v>
      </c>
      <c r="B281" s="4" t="s">
        <v>93</v>
      </c>
      <c r="C281" s="4" t="s">
        <v>9</v>
      </c>
      <c r="D281" s="4" t="str">
        <f>HYPERLINK("PDF Output/21781/Dec 2021/76060.pdf", "76060")</f>
        <v>76060</v>
      </c>
      <c r="E281" s="4" t="s">
        <v>18</v>
      </c>
      <c r="F281" s="4" t="s">
        <v>423</v>
      </c>
      <c r="G281" s="4">
        <v>96</v>
      </c>
    </row>
    <row r="282" spans="1:7" hidden="1" x14ac:dyDescent="0.25">
      <c r="A282" s="9">
        <v>44561</v>
      </c>
      <c r="B282" t="s">
        <v>102</v>
      </c>
      <c r="C282" t="s">
        <v>133</v>
      </c>
      <c r="D282" t="str">
        <f>HYPERLINK("PDF Output/21786/Dec 2021/1000523815.pdf", "1000523815")</f>
        <v>1000523815</v>
      </c>
      <c r="E282" t="s">
        <v>10</v>
      </c>
      <c r="F282" t="s">
        <v>424</v>
      </c>
      <c r="G282" s="16">
        <v>368</v>
      </c>
    </row>
    <row r="283" spans="1:7" hidden="1" x14ac:dyDescent="0.25">
      <c r="A283" s="9">
        <v>44561</v>
      </c>
      <c r="B283" t="s">
        <v>27</v>
      </c>
      <c r="C283" t="s">
        <v>51</v>
      </c>
      <c r="D283" t="str">
        <f>HYPERLINK("PDF Output/21796/Dec 2021/478995.pdf", "478995")</f>
        <v>478995</v>
      </c>
      <c r="E283" t="s">
        <v>10</v>
      </c>
      <c r="F283" t="s">
        <v>425</v>
      </c>
      <c r="G283" s="16">
        <v>1189</v>
      </c>
    </row>
    <row r="284" spans="1:7" hidden="1" x14ac:dyDescent="0.25">
      <c r="A284" s="9">
        <v>44550</v>
      </c>
      <c r="B284" t="s">
        <v>27</v>
      </c>
      <c r="C284" t="s">
        <v>28</v>
      </c>
      <c r="D284" t="str">
        <f>HYPERLINK("PDF Output/21796/Dec 2021/21796 24354.pdf", "21796/24354")</f>
        <v>21796/24354</v>
      </c>
      <c r="E284" t="s">
        <v>10</v>
      </c>
      <c r="F284" t="s">
        <v>29</v>
      </c>
      <c r="G284" s="16">
        <v>0</v>
      </c>
    </row>
    <row r="285" spans="1:7" hidden="1" x14ac:dyDescent="0.25">
      <c r="A285" s="9">
        <v>44561</v>
      </c>
      <c r="B285" t="s">
        <v>27</v>
      </c>
      <c r="C285" t="s">
        <v>426</v>
      </c>
      <c r="D285" t="str">
        <f>HYPERLINK("PDF Output/21796/Dec 2021/412378558.pdf", "412378558")</f>
        <v>412378558</v>
      </c>
      <c r="E285" t="s">
        <v>10</v>
      </c>
      <c r="F285" t="s">
        <v>427</v>
      </c>
      <c r="G285" s="16">
        <v>66</v>
      </c>
    </row>
    <row r="286" spans="1:7" hidden="1" x14ac:dyDescent="0.25">
      <c r="A286" s="9">
        <v>44561</v>
      </c>
      <c r="B286" t="s">
        <v>27</v>
      </c>
      <c r="C286" t="s">
        <v>426</v>
      </c>
      <c r="D286" t="str">
        <f>HYPERLINK("PDF Output/21796/Dec 2021/412378554.pdf", "412378554")</f>
        <v>412378554</v>
      </c>
      <c r="E286" t="s">
        <v>10</v>
      </c>
      <c r="F286" t="s">
        <v>428</v>
      </c>
      <c r="G286" s="16">
        <v>22</v>
      </c>
    </row>
    <row r="287" spans="1:7" hidden="1" x14ac:dyDescent="0.25">
      <c r="A287" s="9">
        <v>44561</v>
      </c>
      <c r="B287" t="s">
        <v>27</v>
      </c>
      <c r="C287" t="s">
        <v>27</v>
      </c>
      <c r="D287" t="str">
        <f>HYPERLINK("PDF Output/21796/Dec 2021/412378553.pdf", "412378553")</f>
        <v>412378553</v>
      </c>
      <c r="E287" t="s">
        <v>10</v>
      </c>
      <c r="F287" t="s">
        <v>429</v>
      </c>
      <c r="G287" s="16">
        <v>222</v>
      </c>
    </row>
    <row r="288" spans="1:7" hidden="1" x14ac:dyDescent="0.25">
      <c r="A288" s="9">
        <v>44561</v>
      </c>
      <c r="B288" t="s">
        <v>27</v>
      </c>
      <c r="C288" t="s">
        <v>138</v>
      </c>
      <c r="D288" t="str">
        <f>HYPERLINK("PDF Output/21796/Dec 2021/41713 21XXX.pdf", "41713/21XXX")</f>
        <v>41713/21XXX</v>
      </c>
      <c r="E288" t="s">
        <v>18</v>
      </c>
      <c r="F288" t="s">
        <v>430</v>
      </c>
      <c r="G288" s="16">
        <v>95</v>
      </c>
    </row>
    <row r="289" spans="1:7" hidden="1" x14ac:dyDescent="0.25">
      <c r="A289" s="9">
        <v>44561</v>
      </c>
      <c r="B289" t="s">
        <v>27</v>
      </c>
      <c r="C289" t="s">
        <v>138</v>
      </c>
      <c r="D289" t="str">
        <f>HYPERLINK("PDF Output/21796/Dec 2021/168667.pdf", "168667")</f>
        <v>168667</v>
      </c>
      <c r="E289" t="s">
        <v>18</v>
      </c>
      <c r="F289" t="s">
        <v>431</v>
      </c>
      <c r="G289" s="16">
        <v>113</v>
      </c>
    </row>
    <row r="290" spans="1:7" hidden="1" x14ac:dyDescent="0.25">
      <c r="A290" s="9">
        <v>44561</v>
      </c>
      <c r="B290" t="s">
        <v>27</v>
      </c>
      <c r="C290" t="s">
        <v>138</v>
      </c>
      <c r="D290" t="str">
        <f>HYPERLINK("PDF Output/21796/Dec 2021/168665.pdf", "168665")</f>
        <v>168665</v>
      </c>
      <c r="E290" t="s">
        <v>18</v>
      </c>
      <c r="F290" t="s">
        <v>432</v>
      </c>
      <c r="G290" s="16">
        <v>244</v>
      </c>
    </row>
    <row r="291" spans="1:7" hidden="1" x14ac:dyDescent="0.25">
      <c r="A291" s="9">
        <v>44561</v>
      </c>
      <c r="B291" t="s">
        <v>27</v>
      </c>
      <c r="C291" t="s">
        <v>433</v>
      </c>
      <c r="D291" t="str">
        <f>HYPERLINK("PDF Output/21796/Dec 2021/851043.pdf", "851043")</f>
        <v>851043</v>
      </c>
      <c r="E291" t="s">
        <v>18</v>
      </c>
      <c r="F291" t="s">
        <v>434</v>
      </c>
      <c r="G291" s="16">
        <v>1013</v>
      </c>
    </row>
    <row r="292" spans="1:7" hidden="1" x14ac:dyDescent="0.25">
      <c r="A292" s="9">
        <v>44561</v>
      </c>
      <c r="B292" t="s">
        <v>8</v>
      </c>
      <c r="C292" s="4" t="s">
        <v>435</v>
      </c>
      <c r="D292" s="4" t="str">
        <f>HYPERLINK("PDF Output/21785/Dec 2021/851044.pdf", "851044")</f>
        <v>851044</v>
      </c>
      <c r="E292" t="s">
        <v>18</v>
      </c>
      <c r="F292" t="s">
        <v>436</v>
      </c>
      <c r="G292" s="16">
        <v>83</v>
      </c>
    </row>
    <row r="293" spans="1:7" hidden="1" x14ac:dyDescent="0.25">
      <c r="A293" s="9">
        <v>44561</v>
      </c>
      <c r="B293" t="s">
        <v>8</v>
      </c>
      <c r="C293" s="4" t="s">
        <v>433</v>
      </c>
      <c r="D293" s="4" t="str">
        <f>HYPERLINK("PDF Output/21785/Dec 2021/851045.pdf", "851045")</f>
        <v>851045</v>
      </c>
      <c r="E293" t="s">
        <v>18</v>
      </c>
      <c r="F293" t="s">
        <v>437</v>
      </c>
      <c r="G293" s="16">
        <v>1342</v>
      </c>
    </row>
    <row r="294" spans="1:7" hidden="1" x14ac:dyDescent="0.25">
      <c r="A294" s="9">
        <v>44561</v>
      </c>
      <c r="B294" t="s">
        <v>8</v>
      </c>
      <c r="C294" s="4" t="s">
        <v>435</v>
      </c>
      <c r="D294" s="4" t="str">
        <f>HYPERLINK("PDF Output/21785/Dec 2021/851046.pdf", "851046")</f>
        <v>851046</v>
      </c>
      <c r="E294" t="s">
        <v>18</v>
      </c>
      <c r="F294" t="s">
        <v>438</v>
      </c>
      <c r="G294" s="16">
        <v>1338</v>
      </c>
    </row>
    <row r="295" spans="1:7" hidden="1" x14ac:dyDescent="0.25">
      <c r="A295" s="9">
        <v>44550</v>
      </c>
      <c r="B295" t="s">
        <v>27</v>
      </c>
      <c r="C295" t="s">
        <v>28</v>
      </c>
      <c r="D295" t="str">
        <f>HYPERLINK("PDF Output/21796/Dec 2021/21796 24354.pdf", "21796/24354")</f>
        <v>21796/24354</v>
      </c>
      <c r="E295" t="s">
        <v>10</v>
      </c>
      <c r="F295" t="s">
        <v>29</v>
      </c>
      <c r="G295" s="16">
        <v>0</v>
      </c>
    </row>
    <row r="296" spans="1:7" hidden="1" x14ac:dyDescent="0.25">
      <c r="A296" s="9">
        <v>44550</v>
      </c>
      <c r="B296" t="s">
        <v>27</v>
      </c>
      <c r="C296" t="s">
        <v>28</v>
      </c>
      <c r="D296" t="str">
        <f>HYPERLINK("PDF Output/21796/Dec 2021/21796 24354.pdf", "21796/24354")</f>
        <v>21796/24354</v>
      </c>
      <c r="E296" t="s">
        <v>10</v>
      </c>
      <c r="F296" t="s">
        <v>29</v>
      </c>
      <c r="G296" s="16">
        <v>0</v>
      </c>
    </row>
    <row r="297" spans="1:7" hidden="1" x14ac:dyDescent="0.25">
      <c r="A297" s="9">
        <v>44561</v>
      </c>
      <c r="B297" t="s">
        <v>8</v>
      </c>
      <c r="C297" s="4" t="s">
        <v>439</v>
      </c>
      <c r="D297" s="4" t="str">
        <f>HYPERLINK("PDF Output/21785/Dec 2021/83045.pdf", "83045")</f>
        <v>83045</v>
      </c>
      <c r="E297" t="s">
        <v>18</v>
      </c>
      <c r="F297" t="s">
        <v>440</v>
      </c>
      <c r="G297" s="16">
        <v>1191</v>
      </c>
    </row>
    <row r="298" spans="1:7" hidden="1" x14ac:dyDescent="0.25">
      <c r="A298" s="9">
        <v>44561</v>
      </c>
      <c r="B298" t="s">
        <v>27</v>
      </c>
      <c r="C298" t="s">
        <v>439</v>
      </c>
      <c r="D298" t="str">
        <f>HYPERLINK("PDF Output/21796/Dec 2021/21796.pdf", "21796")</f>
        <v>21796</v>
      </c>
      <c r="E298" t="s">
        <v>18</v>
      </c>
      <c r="F298" t="s">
        <v>441</v>
      </c>
      <c r="G298" s="16">
        <v>580</v>
      </c>
    </row>
    <row r="299" spans="1:7" hidden="1" x14ac:dyDescent="0.25">
      <c r="A299" s="9">
        <v>44566</v>
      </c>
      <c r="B299" t="s">
        <v>27</v>
      </c>
      <c r="C299" t="s">
        <v>442</v>
      </c>
      <c r="D299" t="str">
        <f>HYPERLINK("PDF Output/21796/Jan 2022/21796 24610.pdf", "21796/24610")</f>
        <v>21796/24610</v>
      </c>
      <c r="E299" t="s">
        <v>18</v>
      </c>
      <c r="F299" t="s">
        <v>443</v>
      </c>
      <c r="G299" s="16">
        <v>75</v>
      </c>
    </row>
    <row r="300" spans="1:7" hidden="1" x14ac:dyDescent="0.25">
      <c r="A300" s="9">
        <v>44551</v>
      </c>
      <c r="B300" t="s">
        <v>27</v>
      </c>
      <c r="C300" t="s">
        <v>444</v>
      </c>
      <c r="D300" t="str">
        <f>HYPERLINK("PDF Output/21796/Dec 2021/21796 24610.pdf", "21796/24610")</f>
        <v>21796/24610</v>
      </c>
      <c r="E300" t="s">
        <v>18</v>
      </c>
      <c r="F300" t="s">
        <v>445</v>
      </c>
      <c r="G300" s="16">
        <v>0</v>
      </c>
    </row>
    <row r="301" spans="1:7" hidden="1" x14ac:dyDescent="0.25">
      <c r="A301" s="9">
        <v>44561</v>
      </c>
      <c r="B301" t="s">
        <v>27</v>
      </c>
      <c r="C301" t="s">
        <v>426</v>
      </c>
      <c r="D301" t="str">
        <f>HYPERLINK("PDF Output/21796/Dec 2021/412378555.pdf", "412378555")</f>
        <v>412378555</v>
      </c>
      <c r="E301" t="s">
        <v>10</v>
      </c>
      <c r="F301" t="s">
        <v>446</v>
      </c>
      <c r="G301" s="16">
        <v>57</v>
      </c>
    </row>
    <row r="302" spans="1:7" hidden="1" x14ac:dyDescent="0.25">
      <c r="A302" s="9">
        <v>44561</v>
      </c>
      <c r="B302" t="s">
        <v>27</v>
      </c>
      <c r="C302" t="s">
        <v>426</v>
      </c>
      <c r="D302" t="str">
        <f>HYPERLINK("PDF Output/21796/Dec 2021/412378721.pdf", "412378721")</f>
        <v>412378721</v>
      </c>
      <c r="E302" t="s">
        <v>10</v>
      </c>
      <c r="F302" t="s">
        <v>447</v>
      </c>
      <c r="G302" s="16">
        <v>25</v>
      </c>
    </row>
    <row r="303" spans="1:7" x14ac:dyDescent="0.25">
      <c r="A303" s="9">
        <v>44565</v>
      </c>
      <c r="B303" t="s">
        <v>58</v>
      </c>
      <c r="C303" t="s">
        <v>448</v>
      </c>
      <c r="D303" t="str">
        <f>HYPERLINK("PDF Output/21787/Jan 2022/589265.pdf", "589265")</f>
        <v>589265</v>
      </c>
      <c r="E303" t="s">
        <v>10</v>
      </c>
      <c r="F303" t="s">
        <v>449</v>
      </c>
      <c r="G303" s="16">
        <v>63</v>
      </c>
    </row>
    <row r="304" spans="1:7" hidden="1" x14ac:dyDescent="0.25">
      <c r="A304" s="9">
        <v>44561</v>
      </c>
      <c r="B304" t="s">
        <v>109</v>
      </c>
      <c r="C304" t="s">
        <v>450</v>
      </c>
      <c r="D304" t="str">
        <f>HYPERLINK("PDF Output/20768/Dec 2021/5088267.pdf", "5088267")</f>
        <v>5088267</v>
      </c>
      <c r="E304" t="s">
        <v>18</v>
      </c>
      <c r="F304" t="s">
        <v>451</v>
      </c>
      <c r="G304" s="16">
        <v>395</v>
      </c>
    </row>
    <row r="305" spans="1:7" x14ac:dyDescent="0.25">
      <c r="A305" s="9">
        <v>44567</v>
      </c>
      <c r="B305" t="s">
        <v>58</v>
      </c>
      <c r="C305" t="s">
        <v>452</v>
      </c>
      <c r="D305" t="str">
        <f>HYPERLINK("PDF Output/21787/Jan 2022/A10034.pdf", "A10034")</f>
        <v>A10034</v>
      </c>
      <c r="E305" t="s">
        <v>10</v>
      </c>
      <c r="F305" t="s">
        <v>453</v>
      </c>
      <c r="G305" s="16">
        <v>73</v>
      </c>
    </row>
    <row r="306" spans="1:7" x14ac:dyDescent="0.25">
      <c r="A306" s="9">
        <v>44567</v>
      </c>
      <c r="B306" t="s">
        <v>58</v>
      </c>
      <c r="C306" t="s">
        <v>454</v>
      </c>
      <c r="D306" t="str">
        <f>HYPERLINK("PDF Output/21787/Jan 2022/A10034.pdf", "A10034")</f>
        <v>A10034</v>
      </c>
      <c r="E306" t="s">
        <v>10</v>
      </c>
      <c r="F306" t="s">
        <v>455</v>
      </c>
      <c r="G306" s="16">
        <v>73</v>
      </c>
    </row>
    <row r="307" spans="1:7" x14ac:dyDescent="0.25">
      <c r="A307" s="9">
        <v>44566</v>
      </c>
      <c r="B307" t="s">
        <v>58</v>
      </c>
      <c r="C307" t="s">
        <v>119</v>
      </c>
      <c r="D307" t="str">
        <f>HYPERLINK("PDF Output/21787/Jan 2022/A10018.pdf", "A10018")</f>
        <v>A10018</v>
      </c>
      <c r="E307" t="s">
        <v>10</v>
      </c>
      <c r="F307" t="s">
        <v>456</v>
      </c>
      <c r="G307" s="16">
        <v>220</v>
      </c>
    </row>
    <row r="308" spans="1:7" x14ac:dyDescent="0.25">
      <c r="A308" s="9">
        <v>44567</v>
      </c>
      <c r="B308" t="s">
        <v>58</v>
      </c>
      <c r="C308" t="s">
        <v>452</v>
      </c>
      <c r="D308" t="str">
        <f>HYPERLINK("PDF Output/21787/Jan 2022/A10039.pdf", "A10039")</f>
        <v>A10039</v>
      </c>
      <c r="E308" t="s">
        <v>10</v>
      </c>
      <c r="F308" t="s">
        <v>457</v>
      </c>
      <c r="G308" s="16">
        <v>82</v>
      </c>
    </row>
    <row r="309" spans="1:7" hidden="1" x14ac:dyDescent="0.25">
      <c r="A309" s="9">
        <v>44561</v>
      </c>
      <c r="B309" t="s">
        <v>269</v>
      </c>
      <c r="C309" t="s">
        <v>458</v>
      </c>
      <c r="D309" t="str">
        <f>HYPERLINK("PDF Output/18719/Dec 2021/3099913.pdf", "3099913")</f>
        <v>3099913</v>
      </c>
      <c r="E309" t="s">
        <v>10</v>
      </c>
      <c r="F309" t="s">
        <v>459</v>
      </c>
      <c r="G309" s="16">
        <v>1760</v>
      </c>
    </row>
    <row r="310" spans="1:7" x14ac:dyDescent="0.25">
      <c r="A310" s="9">
        <v>44551</v>
      </c>
      <c r="B310" t="s">
        <v>58</v>
      </c>
      <c r="C310" t="s">
        <v>460</v>
      </c>
      <c r="D310" t="str">
        <f>HYPERLINK("PDF Output/21787/Dec 2021/0717 00108114.pdf", "0717/00108114")</f>
        <v>0717/00108114</v>
      </c>
      <c r="E310" t="s">
        <v>10</v>
      </c>
      <c r="F310" t="s">
        <v>461</v>
      </c>
      <c r="G310" s="16">
        <v>75</v>
      </c>
    </row>
    <row r="311" spans="1:7" hidden="1" x14ac:dyDescent="0.25">
      <c r="A311" s="8">
        <v>44531</v>
      </c>
      <c r="B311" s="4" t="s">
        <v>93</v>
      </c>
      <c r="C311" s="4" t="s">
        <v>426</v>
      </c>
      <c r="D311" s="4" t="str">
        <f>HYPERLINK("PDF Output/21781/Dec 2021/42155 21781.pdf", "42155/21781")</f>
        <v>42155/21781</v>
      </c>
      <c r="E311" s="4" t="s">
        <v>10</v>
      </c>
      <c r="F311" s="4" t="s">
        <v>462</v>
      </c>
      <c r="G311" s="4">
        <v>12</v>
      </c>
    </row>
    <row r="312" spans="1:7" hidden="1" x14ac:dyDescent="0.25">
      <c r="A312" s="8">
        <v>36814</v>
      </c>
      <c r="B312" s="4" t="s">
        <v>93</v>
      </c>
      <c r="C312" s="4" t="s">
        <v>426</v>
      </c>
      <c r="D312" s="4" t="str">
        <f>HYPERLINK("PDF Output/21781/Oct 2000/41866 21781.pdf", "41866/21781")</f>
        <v>41866/21781</v>
      </c>
      <c r="E312" s="4" t="s">
        <v>10</v>
      </c>
      <c r="F312" s="4" t="s">
        <v>463</v>
      </c>
      <c r="G312" s="4">
        <v>2</v>
      </c>
    </row>
    <row r="313" spans="1:7" hidden="1" x14ac:dyDescent="0.25">
      <c r="A313" s="8">
        <v>36814</v>
      </c>
      <c r="B313" s="4" t="s">
        <v>93</v>
      </c>
      <c r="C313" s="4" t="s">
        <v>426</v>
      </c>
      <c r="D313" s="4" t="str">
        <f>HYPERLINK("PDF Output/21781/Oct 2000/41813 21781.pdf", "41813/21781")</f>
        <v>41813/21781</v>
      </c>
      <c r="E313" s="4" t="s">
        <v>10</v>
      </c>
      <c r="F313" s="4" t="s">
        <v>464</v>
      </c>
      <c r="G313" s="4">
        <v>185</v>
      </c>
    </row>
    <row r="314" spans="1:7" hidden="1" x14ac:dyDescent="0.25">
      <c r="A314" s="9">
        <v>44531</v>
      </c>
      <c r="B314" t="s">
        <v>465</v>
      </c>
      <c r="C314" t="s">
        <v>426</v>
      </c>
      <c r="D314" t="str">
        <f>HYPERLINK("PDF Output/LYNN ROAD/Dec 2021/G836518.pdf", "G836518")</f>
        <v>G836518</v>
      </c>
      <c r="E314" t="s">
        <v>10</v>
      </c>
      <c r="F314" t="s">
        <v>466</v>
      </c>
      <c r="G314" s="16">
        <v>112</v>
      </c>
    </row>
    <row r="315" spans="1:7" x14ac:dyDescent="0.25">
      <c r="A315" s="9">
        <v>44561</v>
      </c>
      <c r="B315" t="s">
        <v>58</v>
      </c>
      <c r="C315" t="s">
        <v>467</v>
      </c>
      <c r="D315" t="str">
        <f>HYPERLINK("PDF Output/21787/Dec 2021/588962.pdf", "588962")</f>
        <v>588962</v>
      </c>
      <c r="E315" t="s">
        <v>10</v>
      </c>
      <c r="F315" t="s">
        <v>468</v>
      </c>
      <c r="G315" s="16">
        <v>369</v>
      </c>
    </row>
    <row r="316" spans="1:7" hidden="1" x14ac:dyDescent="0.25">
      <c r="A316" s="9">
        <v>44567</v>
      </c>
      <c r="B316" t="s">
        <v>469</v>
      </c>
      <c r="C316" t="s">
        <v>470</v>
      </c>
      <c r="D316" t="str">
        <f>HYPERLINK("PDF Output/WINFRITH/Jan 2022/407601971.pdf", "407601971")</f>
        <v>407601971</v>
      </c>
      <c r="E316" t="s">
        <v>10</v>
      </c>
      <c r="F316" t="s">
        <v>471</v>
      </c>
      <c r="G316" s="16">
        <v>2</v>
      </c>
    </row>
    <row r="317" spans="1:7" x14ac:dyDescent="0.25">
      <c r="A317" s="9">
        <v>44561</v>
      </c>
      <c r="B317" t="s">
        <v>58</v>
      </c>
      <c r="C317" t="s">
        <v>472</v>
      </c>
      <c r="D317" t="str">
        <f>HYPERLINK("PDF Output/21787/Dec 2021/168672.pdf", "168672")</f>
        <v>168672</v>
      </c>
      <c r="E317" t="s">
        <v>18</v>
      </c>
      <c r="F317" t="s">
        <v>473</v>
      </c>
      <c r="G317" s="16">
        <v>422</v>
      </c>
    </row>
    <row r="318" spans="1:7" x14ac:dyDescent="0.25">
      <c r="A318" s="9">
        <v>44561</v>
      </c>
      <c r="B318" t="s">
        <v>58</v>
      </c>
      <c r="C318" t="s">
        <v>474</v>
      </c>
      <c r="D318" t="str">
        <f>HYPERLINK("PDF Output/21787/Dec 2021/168671.pdf", "168671")</f>
        <v>168671</v>
      </c>
      <c r="E318" t="s">
        <v>18</v>
      </c>
      <c r="F318" t="s">
        <v>473</v>
      </c>
      <c r="G318" s="16">
        <v>281</v>
      </c>
    </row>
    <row r="319" spans="1:7" x14ac:dyDescent="0.25">
      <c r="A319" s="9">
        <v>44561</v>
      </c>
      <c r="B319" t="s">
        <v>58</v>
      </c>
      <c r="C319" t="s">
        <v>474</v>
      </c>
      <c r="D319" t="str">
        <f>HYPERLINK("PDF Output/21787/Dec 2021/168668.pdf", "168668")</f>
        <v>168668</v>
      </c>
      <c r="E319" t="s">
        <v>18</v>
      </c>
      <c r="F319" t="s">
        <v>475</v>
      </c>
      <c r="G319" s="16">
        <v>208</v>
      </c>
    </row>
    <row r="320" spans="1:7" hidden="1" x14ac:dyDescent="0.25">
      <c r="A320" s="9">
        <v>44561</v>
      </c>
      <c r="B320" t="s">
        <v>102</v>
      </c>
      <c r="C320" t="s">
        <v>474</v>
      </c>
      <c r="D320" t="str">
        <f>HYPERLINK("PDF Output/21786/Dec 2021/168661.pdf", "168661")</f>
        <v>168661</v>
      </c>
      <c r="E320" t="s">
        <v>18</v>
      </c>
      <c r="F320" t="s">
        <v>476</v>
      </c>
      <c r="G320" s="16">
        <v>147</v>
      </c>
    </row>
    <row r="321" spans="1:7" hidden="1" x14ac:dyDescent="0.25">
      <c r="A321" s="9">
        <v>44561</v>
      </c>
      <c r="B321" t="s">
        <v>102</v>
      </c>
      <c r="C321" t="s">
        <v>474</v>
      </c>
      <c r="D321" t="str">
        <f>HYPERLINK("PDF Output/21786/Dec 2021/168660.pdf", "168660")</f>
        <v>168660</v>
      </c>
      <c r="E321" t="s">
        <v>18</v>
      </c>
      <c r="F321" t="s">
        <v>477</v>
      </c>
      <c r="G321" s="16">
        <v>92</v>
      </c>
    </row>
    <row r="322" spans="1:7" hidden="1" x14ac:dyDescent="0.25">
      <c r="A322" s="8">
        <v>44561</v>
      </c>
      <c r="B322" s="4" t="s">
        <v>93</v>
      </c>
      <c r="C322" s="4" t="s">
        <v>478</v>
      </c>
      <c r="D322" s="4" t="str">
        <f>HYPERLINK("PDF Output/21781/Dec 2021/851028.pdf", "851028")</f>
        <v>851028</v>
      </c>
      <c r="E322" s="4" t="s">
        <v>18</v>
      </c>
      <c r="F322" s="4" t="s">
        <v>479</v>
      </c>
      <c r="G322" s="4">
        <v>804</v>
      </c>
    </row>
    <row r="323" spans="1:7" hidden="1" x14ac:dyDescent="0.25">
      <c r="A323" s="9">
        <v>44561</v>
      </c>
      <c r="B323" t="s">
        <v>102</v>
      </c>
      <c r="C323" t="s">
        <v>478</v>
      </c>
      <c r="D323" t="str">
        <f>HYPERLINK("PDF Output/21786/Dec 2021/851033.pdf", "851033")</f>
        <v>851033</v>
      </c>
      <c r="E323" t="s">
        <v>18</v>
      </c>
      <c r="F323" t="s">
        <v>480</v>
      </c>
      <c r="G323" s="16">
        <v>966</v>
      </c>
    </row>
    <row r="324" spans="1:7" hidden="1" x14ac:dyDescent="0.25">
      <c r="A324" s="8">
        <v>44561</v>
      </c>
      <c r="B324" s="4" t="s">
        <v>93</v>
      </c>
      <c r="C324" s="4" t="s">
        <v>433</v>
      </c>
      <c r="D324" s="4" t="str">
        <f>HYPERLINK("PDF Output/21781/Dec 2021/851036.pdf", "851036")</f>
        <v>851036</v>
      </c>
      <c r="E324" s="4" t="s">
        <v>18</v>
      </c>
      <c r="F324" s="4" t="s">
        <v>481</v>
      </c>
      <c r="G324" s="4">
        <v>303</v>
      </c>
    </row>
    <row r="325" spans="1:7" x14ac:dyDescent="0.25">
      <c r="A325" s="9">
        <v>44561</v>
      </c>
      <c r="B325" t="s">
        <v>58</v>
      </c>
      <c r="C325" t="s">
        <v>435</v>
      </c>
      <c r="D325" t="str">
        <f>HYPERLINK("PDF Output/21787/Dec 2021/851040.pdf", "851040")</f>
        <v>851040</v>
      </c>
      <c r="E325" t="s">
        <v>18</v>
      </c>
      <c r="F325" t="s">
        <v>482</v>
      </c>
      <c r="G325" s="16">
        <v>1948</v>
      </c>
    </row>
    <row r="326" spans="1:7" x14ac:dyDescent="0.25">
      <c r="A326" s="9">
        <v>44561</v>
      </c>
      <c r="B326" t="s">
        <v>58</v>
      </c>
      <c r="C326" t="s">
        <v>483</v>
      </c>
      <c r="D326" t="str">
        <f>HYPERLINK("PDF Output/21787/Dec 2021/588959.pdf", "588959")</f>
        <v>588959</v>
      </c>
      <c r="E326" t="s">
        <v>10</v>
      </c>
      <c r="F326" t="s">
        <v>484</v>
      </c>
      <c r="G326" s="16">
        <v>459</v>
      </c>
    </row>
    <row r="327" spans="1:7" x14ac:dyDescent="0.25">
      <c r="A327" s="9">
        <v>44561</v>
      </c>
      <c r="B327" t="s">
        <v>58</v>
      </c>
      <c r="C327" t="s">
        <v>433</v>
      </c>
      <c r="D327" t="str">
        <f>HYPERLINK("PDF Output/21787/Dec 2021/851041.pdf", "851041")</f>
        <v>851041</v>
      </c>
      <c r="E327" t="s">
        <v>18</v>
      </c>
      <c r="F327" t="s">
        <v>485</v>
      </c>
      <c r="G327" s="16">
        <v>257</v>
      </c>
    </row>
    <row r="328" spans="1:7" x14ac:dyDescent="0.25">
      <c r="A328" s="9">
        <v>44561</v>
      </c>
      <c r="B328" t="s">
        <v>58</v>
      </c>
      <c r="C328" t="s">
        <v>486</v>
      </c>
      <c r="D328" t="str">
        <f>HYPERLINK("PDF Output/21787/Dec 2021/851048.pdf", "851048")</f>
        <v>851048</v>
      </c>
      <c r="E328" t="s">
        <v>18</v>
      </c>
      <c r="F328" t="s">
        <v>487</v>
      </c>
      <c r="G328" s="16">
        <v>159</v>
      </c>
    </row>
    <row r="329" spans="1:7" hidden="1" x14ac:dyDescent="0.25">
      <c r="A329" s="8">
        <v>44561</v>
      </c>
      <c r="B329" s="4" t="s">
        <v>93</v>
      </c>
      <c r="C329" s="4" t="s">
        <v>486</v>
      </c>
      <c r="D329" s="4" t="str">
        <f>HYPERLINK("PDF Output/21781/Dec 2021/851050.pdf", "851050")</f>
        <v>851050</v>
      </c>
      <c r="E329" s="4" t="s">
        <v>18</v>
      </c>
      <c r="F329" s="4" t="s">
        <v>488</v>
      </c>
      <c r="G329" s="4">
        <v>450</v>
      </c>
    </row>
    <row r="330" spans="1:7" x14ac:dyDescent="0.25">
      <c r="A330" s="9">
        <v>44561</v>
      </c>
      <c r="B330" t="s">
        <v>58</v>
      </c>
      <c r="C330" t="s">
        <v>486</v>
      </c>
      <c r="D330" t="str">
        <f>HYPERLINK("PDF Output/21787/Dec 2021/851051.pdf", "851051")</f>
        <v>851051</v>
      </c>
      <c r="E330" t="s">
        <v>18</v>
      </c>
      <c r="F330" t="s">
        <v>489</v>
      </c>
      <c r="G330" s="16">
        <v>306</v>
      </c>
    </row>
    <row r="331" spans="1:7" hidden="1" x14ac:dyDescent="0.25">
      <c r="A331" s="9">
        <v>44561</v>
      </c>
      <c r="B331" t="s">
        <v>486</v>
      </c>
      <c r="C331" t="s">
        <v>486</v>
      </c>
      <c r="D331" t="str">
        <f>HYPERLINK("PDF Output/Pickering/Dec 2021/851052.pdf", "851052")</f>
        <v>851052</v>
      </c>
      <c r="E331" t="s">
        <v>18</v>
      </c>
      <c r="F331" t="s">
        <v>490</v>
      </c>
      <c r="G331" s="16">
        <v>532</v>
      </c>
    </row>
    <row r="332" spans="1:7" hidden="1" x14ac:dyDescent="0.25">
      <c r="A332" s="8">
        <v>44561</v>
      </c>
      <c r="B332" s="4" t="s">
        <v>93</v>
      </c>
      <c r="C332" s="4" t="s">
        <v>491</v>
      </c>
      <c r="D332" s="10" t="str">
        <f>HYPERLINK("PDF Output/21781/Dec 2021/044880.pdf", "044880")</f>
        <v>044880</v>
      </c>
      <c r="E332" s="4" t="s">
        <v>10</v>
      </c>
      <c r="F332" s="4" t="s">
        <v>492</v>
      </c>
      <c r="G332" s="4">
        <v>3723</v>
      </c>
    </row>
    <row r="333" spans="1:7" hidden="1" x14ac:dyDescent="0.25">
      <c r="A333" s="8">
        <v>44553</v>
      </c>
      <c r="B333" s="4" t="s">
        <v>93</v>
      </c>
      <c r="C333" s="4" t="s">
        <v>493</v>
      </c>
      <c r="D333" s="4" t="str">
        <f>HYPERLINK("PDF Output/21781/Dec 2021/150365.pdf", "150365")</f>
        <v>150365</v>
      </c>
      <c r="E333" s="4" t="s">
        <v>10</v>
      </c>
      <c r="F333" s="4" t="s">
        <v>494</v>
      </c>
      <c r="G333" s="4">
        <v>151</v>
      </c>
    </row>
    <row r="334" spans="1:7" x14ac:dyDescent="0.25">
      <c r="A334" s="9">
        <v>44553</v>
      </c>
      <c r="B334" t="s">
        <v>58</v>
      </c>
      <c r="C334" t="s">
        <v>495</v>
      </c>
      <c r="D334" t="str">
        <f>HYPERLINK("PDF Output/21787/Dec 2021/150364.pdf", "150364")</f>
        <v>150364</v>
      </c>
      <c r="E334" t="s">
        <v>10</v>
      </c>
      <c r="F334" t="s">
        <v>496</v>
      </c>
      <c r="G334" s="16">
        <v>313</v>
      </c>
    </row>
    <row r="335" spans="1:7" hidden="1" x14ac:dyDescent="0.25">
      <c r="A335" s="8">
        <v>44553</v>
      </c>
      <c r="B335" s="4" t="s">
        <v>93</v>
      </c>
      <c r="C335" s="4" t="s">
        <v>493</v>
      </c>
      <c r="D335" s="4" t="str">
        <f>HYPERLINK("PDF Output/21781/Dec 2021/150362.pdf", "150362")</f>
        <v>150362</v>
      </c>
      <c r="E335" s="4" t="s">
        <v>10</v>
      </c>
      <c r="F335" s="4" t="s">
        <v>497</v>
      </c>
      <c r="G335" s="4">
        <v>118</v>
      </c>
    </row>
    <row r="336" spans="1:7" x14ac:dyDescent="0.25">
      <c r="A336" s="9">
        <v>44561</v>
      </c>
      <c r="B336" t="s">
        <v>58</v>
      </c>
      <c r="C336" t="s">
        <v>498</v>
      </c>
      <c r="D336" t="str">
        <f>HYPERLINK("PDF Output/21787/Dec 2021/83043.pdf", "83043")</f>
        <v>83043</v>
      </c>
      <c r="E336" t="s">
        <v>18</v>
      </c>
      <c r="F336" t="s">
        <v>499</v>
      </c>
      <c r="G336" s="16">
        <v>1102</v>
      </c>
    </row>
    <row r="337" spans="1:7" hidden="1" x14ac:dyDescent="0.25">
      <c r="A337" s="9">
        <v>44561</v>
      </c>
      <c r="B337" t="s">
        <v>102</v>
      </c>
      <c r="C337" t="s">
        <v>500</v>
      </c>
      <c r="D337" t="str">
        <f>HYPERLINK("PDF Output/21786/Dec 2021/15084771.pdf", "15084771")</f>
        <v>15084771</v>
      </c>
      <c r="E337" t="s">
        <v>18</v>
      </c>
      <c r="F337" t="s">
        <v>501</v>
      </c>
      <c r="G337" s="16">
        <v>86</v>
      </c>
    </row>
    <row r="338" spans="1:7" hidden="1" x14ac:dyDescent="0.25">
      <c r="A338" s="9">
        <v>44561</v>
      </c>
      <c r="B338" t="s">
        <v>22</v>
      </c>
      <c r="C338" t="s">
        <v>502</v>
      </c>
      <c r="D338" t="str">
        <f>HYPERLINK("PDF Output/21797/Dec 2021/819714.pdf", "819714")</f>
        <v>819714</v>
      </c>
      <c r="E338" t="s">
        <v>18</v>
      </c>
      <c r="F338" t="s">
        <v>503</v>
      </c>
      <c r="G338" s="16">
        <v>1200</v>
      </c>
    </row>
    <row r="339" spans="1:7" hidden="1" x14ac:dyDescent="0.25">
      <c r="A339" s="9">
        <v>44561</v>
      </c>
      <c r="B339" t="s">
        <v>27</v>
      </c>
      <c r="C339" t="s">
        <v>504</v>
      </c>
      <c r="D339" t="str">
        <f>HYPERLINK("PDF Output/21796/Dec 2021/1379 S02664.pdf", "1379 S02664")</f>
        <v>1379 S02664</v>
      </c>
      <c r="E339" t="s">
        <v>10</v>
      </c>
      <c r="F339" t="s">
        <v>505</v>
      </c>
      <c r="G339" s="16">
        <v>72</v>
      </c>
    </row>
    <row r="340" spans="1:7" hidden="1" x14ac:dyDescent="0.25">
      <c r="A340" s="9">
        <v>44561</v>
      </c>
      <c r="B340" t="s">
        <v>27</v>
      </c>
      <c r="C340" t="s">
        <v>506</v>
      </c>
      <c r="D340" t="str">
        <f>HYPERLINK("PDF Output/21796/Dec 2021/2482 S03331.pdf", "2482 S03331")</f>
        <v>2482 S03331</v>
      </c>
      <c r="E340" t="s">
        <v>10</v>
      </c>
      <c r="F340" t="s">
        <v>507</v>
      </c>
      <c r="G340" s="16">
        <v>100</v>
      </c>
    </row>
    <row r="341" spans="1:7" hidden="1" x14ac:dyDescent="0.25">
      <c r="A341" s="9">
        <v>44568</v>
      </c>
      <c r="B341" t="s">
        <v>8</v>
      </c>
      <c r="C341" s="4" t="s">
        <v>508</v>
      </c>
      <c r="D341" s="4" t="str">
        <f>HYPERLINK("PDF Output/21785/Jan 2022/INV-16523.pdf", "INV-16523")</f>
        <v>INV-16523</v>
      </c>
      <c r="E341" t="s">
        <v>10</v>
      </c>
      <c r="F341" t="s">
        <v>509</v>
      </c>
      <c r="G341" s="16">
        <v>620</v>
      </c>
    </row>
    <row r="342" spans="1:7" hidden="1" x14ac:dyDescent="0.25">
      <c r="A342" s="8">
        <v>44568</v>
      </c>
      <c r="B342" s="4" t="s">
        <v>93</v>
      </c>
      <c r="C342" s="4" t="s">
        <v>510</v>
      </c>
      <c r="D342" s="4" t="str">
        <f>HYPERLINK("PDF Output/21781/Jan 2022/106005.pdf", "106005")</f>
        <v>106005</v>
      </c>
      <c r="E342" s="4" t="s">
        <v>10</v>
      </c>
      <c r="F342" s="4" t="s">
        <v>511</v>
      </c>
      <c r="G342" s="4">
        <v>83</v>
      </c>
    </row>
    <row r="343" spans="1:7" hidden="1" x14ac:dyDescent="0.25">
      <c r="A343" s="8">
        <v>44568</v>
      </c>
      <c r="B343" s="4" t="s">
        <v>93</v>
      </c>
      <c r="C343" s="4" t="s">
        <v>208</v>
      </c>
      <c r="D343" s="4" t="str">
        <f>HYPERLINK("PDF Output/21781/Jan 2022/106004.pdf", "106004")</f>
        <v>106004</v>
      </c>
      <c r="E343" s="4" t="s">
        <v>10</v>
      </c>
      <c r="F343" s="4" t="s">
        <v>512</v>
      </c>
      <c r="G343" s="4">
        <v>108</v>
      </c>
    </row>
    <row r="344" spans="1:7" x14ac:dyDescent="0.25">
      <c r="A344" s="9">
        <v>44567</v>
      </c>
      <c r="B344" t="s">
        <v>58</v>
      </c>
      <c r="C344" t="s">
        <v>114</v>
      </c>
      <c r="D344" t="str">
        <f>HYPERLINK("PDF Output/21787/Jan 2022/40497 21787.pdf", "40497/21787")</f>
        <v>40497/21787</v>
      </c>
      <c r="E344" t="s">
        <v>10</v>
      </c>
      <c r="F344" t="s">
        <v>513</v>
      </c>
      <c r="G344" s="16">
        <v>34</v>
      </c>
    </row>
    <row r="345" spans="1:7" x14ac:dyDescent="0.25">
      <c r="A345" s="9">
        <v>44567</v>
      </c>
      <c r="B345" t="s">
        <v>58</v>
      </c>
      <c r="C345" t="s">
        <v>114</v>
      </c>
      <c r="D345" t="str">
        <f>HYPERLINK("PDF Output/21787/Jan 2022/30874 21787.pdf", "30874/21787")</f>
        <v>30874/21787</v>
      </c>
      <c r="E345" t="s">
        <v>10</v>
      </c>
      <c r="F345" t="s">
        <v>514</v>
      </c>
      <c r="G345" s="16">
        <v>1881</v>
      </c>
    </row>
    <row r="346" spans="1:7" hidden="1" x14ac:dyDescent="0.25">
      <c r="A346" s="9">
        <v>44565</v>
      </c>
      <c r="B346" t="s">
        <v>102</v>
      </c>
      <c r="C346" t="s">
        <v>515</v>
      </c>
      <c r="D346" t="str">
        <f>HYPERLINK("PDF Output/21786/Jan 2022/41780 21786.pdf", "41780/21786")</f>
        <v>41780/21786</v>
      </c>
      <c r="E346" t="s">
        <v>10</v>
      </c>
      <c r="F346" t="s">
        <v>516</v>
      </c>
      <c r="G346" s="16">
        <v>268</v>
      </c>
    </row>
    <row r="347" spans="1:7" hidden="1" x14ac:dyDescent="0.25">
      <c r="A347" s="9">
        <v>44561</v>
      </c>
      <c r="B347" t="s">
        <v>185</v>
      </c>
      <c r="C347" t="s">
        <v>517</v>
      </c>
      <c r="D347" t="str">
        <f>HYPERLINK("PDF Output/19743/Dec 2021/FHM 384264.pdf", "FHM/384264")</f>
        <v>FHM/384264</v>
      </c>
      <c r="E347" t="s">
        <v>10</v>
      </c>
      <c r="F347" t="s">
        <v>518</v>
      </c>
      <c r="G347" s="16">
        <v>58</v>
      </c>
    </row>
    <row r="348" spans="1:7" x14ac:dyDescent="0.25">
      <c r="A348" s="9">
        <v>44567</v>
      </c>
      <c r="B348" t="s">
        <v>58</v>
      </c>
      <c r="C348" t="s">
        <v>119</v>
      </c>
      <c r="D348" t="str">
        <f>HYPERLINK("PDF Output/21787/Jan 2022/A10053.pdf", "A10053")</f>
        <v>A10053</v>
      </c>
      <c r="E348" t="s">
        <v>10</v>
      </c>
      <c r="F348" t="s">
        <v>519</v>
      </c>
      <c r="G348" s="16">
        <v>73</v>
      </c>
    </row>
    <row r="349" spans="1:7" x14ac:dyDescent="0.25">
      <c r="A349" s="9">
        <v>44568</v>
      </c>
      <c r="B349" t="s">
        <v>58</v>
      </c>
      <c r="C349" t="s">
        <v>119</v>
      </c>
      <c r="D349" t="str">
        <f>HYPERLINK("PDF Output/21787/Jan 2022/A10070.pdf", "A10070")</f>
        <v>A10070</v>
      </c>
      <c r="E349" t="s">
        <v>10</v>
      </c>
      <c r="F349" t="s">
        <v>520</v>
      </c>
      <c r="G349" s="16">
        <v>220</v>
      </c>
    </row>
    <row r="350" spans="1:7" hidden="1" x14ac:dyDescent="0.25">
      <c r="A350" s="9">
        <v>44568</v>
      </c>
      <c r="B350" t="s">
        <v>8</v>
      </c>
      <c r="C350" s="4" t="s">
        <v>521</v>
      </c>
      <c r="D350" s="4" t="str">
        <f>HYPERLINK("PDF Output/21785/Jan 2022/852167.pdf", "852167")</f>
        <v>852167</v>
      </c>
      <c r="E350" t="s">
        <v>18</v>
      </c>
      <c r="F350" t="s">
        <v>522</v>
      </c>
      <c r="G350" s="16">
        <v>120</v>
      </c>
    </row>
    <row r="351" spans="1:7" hidden="1" x14ac:dyDescent="0.25">
      <c r="A351" s="9">
        <v>44568</v>
      </c>
      <c r="B351" t="s">
        <v>8</v>
      </c>
      <c r="C351" s="4" t="s">
        <v>486</v>
      </c>
      <c r="D351" s="4" t="str">
        <f>HYPERLINK("PDF Output/21785/Jan 2022/852166.pdf", "852166")</f>
        <v>852166</v>
      </c>
      <c r="E351" t="s">
        <v>18</v>
      </c>
      <c r="F351" t="s">
        <v>523</v>
      </c>
      <c r="G351" s="16">
        <v>120</v>
      </c>
    </row>
    <row r="352" spans="1:7" hidden="1" x14ac:dyDescent="0.25">
      <c r="A352" s="9">
        <v>44568</v>
      </c>
      <c r="B352" t="s">
        <v>8</v>
      </c>
      <c r="C352" s="4" t="s">
        <v>524</v>
      </c>
      <c r="D352" s="4" t="str">
        <f>HYPERLINK("PDF Output/21785/Jan 2022/PLI351254.pdf", "PLI351254")</f>
        <v>PLI351254</v>
      </c>
      <c r="E352" t="s">
        <v>10</v>
      </c>
      <c r="F352" t="s">
        <v>525</v>
      </c>
      <c r="G352" s="16">
        <v>187</v>
      </c>
    </row>
    <row r="353" spans="1:7" hidden="1" x14ac:dyDescent="0.25">
      <c r="A353" s="9">
        <v>44544</v>
      </c>
      <c r="B353" t="s">
        <v>30</v>
      </c>
      <c r="C353" t="s">
        <v>30</v>
      </c>
      <c r="D353" t="str">
        <f>HYPERLINK("PDF Output/0/Dec 2021/02136748.pdf", "02136748")</f>
        <v>02136748</v>
      </c>
      <c r="E353" t="s">
        <v>10</v>
      </c>
      <c r="F353" t="s">
        <v>30</v>
      </c>
      <c r="G353" s="16">
        <v>0</v>
      </c>
    </row>
    <row r="354" spans="1:7" hidden="1" x14ac:dyDescent="0.25">
      <c r="A354" s="9">
        <v>44552</v>
      </c>
      <c r="B354" t="s">
        <v>8</v>
      </c>
      <c r="C354" s="4" t="s">
        <v>526</v>
      </c>
      <c r="D354" s="4" t="str">
        <f>HYPERLINK("PDF Output/21785/Dec 2021/PLI350327.pdf", "PLI350327")</f>
        <v>PLI350327</v>
      </c>
      <c r="E354" t="s">
        <v>10</v>
      </c>
      <c r="F354" t="s">
        <v>527</v>
      </c>
      <c r="G354" s="16">
        <v>65</v>
      </c>
    </row>
    <row r="355" spans="1:7" hidden="1" x14ac:dyDescent="0.25">
      <c r="A355" s="9">
        <v>44543</v>
      </c>
      <c r="B355" t="s">
        <v>30</v>
      </c>
      <c r="C355" t="s">
        <v>528</v>
      </c>
      <c r="D355" t="str">
        <f>HYPERLINK("PDF Output/0/Dec 2021/02136748.pdf", "02136748")</f>
        <v>02136748</v>
      </c>
      <c r="E355" t="s">
        <v>10</v>
      </c>
      <c r="F355" t="s">
        <v>30</v>
      </c>
      <c r="G355" s="16">
        <v>0</v>
      </c>
    </row>
    <row r="356" spans="1:7" hidden="1" x14ac:dyDescent="0.25">
      <c r="A356" s="9">
        <v>44546</v>
      </c>
      <c r="B356" t="s">
        <v>8</v>
      </c>
      <c r="C356" s="4" t="s">
        <v>529</v>
      </c>
      <c r="D356" s="4" t="str">
        <f>HYPERLINK("PDF Output/21785/Dec 2021/PLI349794.pdf", "PLI349794")</f>
        <v>PLI349794</v>
      </c>
      <c r="E356" t="s">
        <v>10</v>
      </c>
      <c r="F356" t="s">
        <v>525</v>
      </c>
      <c r="G356" s="16">
        <v>130</v>
      </c>
    </row>
    <row r="357" spans="1:7" hidden="1" x14ac:dyDescent="0.25">
      <c r="G357" s="16"/>
    </row>
    <row r="358" spans="1:7" hidden="1" x14ac:dyDescent="0.25">
      <c r="A358" s="9">
        <v>44546</v>
      </c>
      <c r="B358" t="s">
        <v>8</v>
      </c>
      <c r="C358" s="4" t="s">
        <v>524</v>
      </c>
      <c r="D358" s="4" t="str">
        <f>HYPERLINK("PDF Output/21785/Dec 2021/PLI349766.pdf", "PLI349766")</f>
        <v>PLI349766</v>
      </c>
      <c r="E358" t="s">
        <v>10</v>
      </c>
      <c r="F358" t="s">
        <v>530</v>
      </c>
      <c r="G358" s="16">
        <v>195</v>
      </c>
    </row>
    <row r="359" spans="1:7" hidden="1" x14ac:dyDescent="0.25">
      <c r="A359" s="9">
        <v>44561</v>
      </c>
      <c r="B359" t="s">
        <v>27</v>
      </c>
      <c r="C359" t="s">
        <v>531</v>
      </c>
      <c r="D359" t="str">
        <f>HYPERLINK("PDF Output/21796/Dec 2021/4119.pdf", "4119")</f>
        <v>4119</v>
      </c>
      <c r="E359" t="s">
        <v>10</v>
      </c>
      <c r="F359" t="s">
        <v>532</v>
      </c>
      <c r="G359" s="16">
        <v>13</v>
      </c>
    </row>
    <row r="360" spans="1:7" hidden="1" x14ac:dyDescent="0.25">
      <c r="A360" s="8">
        <v>44561</v>
      </c>
      <c r="B360" s="4" t="s">
        <v>93</v>
      </c>
      <c r="C360" s="4" t="s">
        <v>76</v>
      </c>
      <c r="D360" s="4" t="str">
        <f>HYPERLINK("PDF Output/21781/Dec 2021/7300460477.pdf", "7300460477")</f>
        <v>7300460477</v>
      </c>
      <c r="E360" s="4" t="s">
        <v>10</v>
      </c>
      <c r="F360" s="4" t="s">
        <v>533</v>
      </c>
      <c r="G360" s="4">
        <v>123</v>
      </c>
    </row>
    <row r="361" spans="1:7" hidden="1" x14ac:dyDescent="0.25">
      <c r="A361" s="8">
        <v>44561</v>
      </c>
      <c r="B361" s="4" t="s">
        <v>93</v>
      </c>
      <c r="C361" s="4" t="s">
        <v>534</v>
      </c>
      <c r="D361" s="4" t="str">
        <f>HYPERLINK("PDF Output/21781/Dec 2021/7300460242.pdf", "7300460242")</f>
        <v>7300460242</v>
      </c>
      <c r="E361" s="4" t="s">
        <v>10</v>
      </c>
      <c r="F361" s="4" t="s">
        <v>535</v>
      </c>
      <c r="G361" s="4">
        <v>289</v>
      </c>
    </row>
    <row r="362" spans="1:7" x14ac:dyDescent="0.25">
      <c r="A362" s="9">
        <v>44561</v>
      </c>
      <c r="B362" t="s">
        <v>58</v>
      </c>
      <c r="C362" t="s">
        <v>531</v>
      </c>
      <c r="D362" t="str">
        <f>HYPERLINK("PDF Output/21787/Dec 2021/4121.pdf", "4121")</f>
        <v>4121</v>
      </c>
      <c r="E362" t="s">
        <v>10</v>
      </c>
      <c r="F362" t="s">
        <v>536</v>
      </c>
      <c r="G362" s="16">
        <v>26</v>
      </c>
    </row>
    <row r="363" spans="1:7" hidden="1" x14ac:dyDescent="0.25">
      <c r="A363" s="9">
        <v>44567</v>
      </c>
      <c r="B363" t="s">
        <v>27</v>
      </c>
      <c r="C363" t="s">
        <v>537</v>
      </c>
      <c r="D363" t="str">
        <f>HYPERLINK("PDF Output/21796/Jan 2022/32462023.pdf", "32462023")</f>
        <v>32462023</v>
      </c>
      <c r="E363" t="s">
        <v>18</v>
      </c>
      <c r="F363" t="s">
        <v>538</v>
      </c>
      <c r="G363" s="16">
        <v>63</v>
      </c>
    </row>
    <row r="364" spans="1:7" hidden="1" x14ac:dyDescent="0.25">
      <c r="A364" s="9">
        <v>44567</v>
      </c>
      <c r="B364" t="s">
        <v>27</v>
      </c>
      <c r="C364" t="s">
        <v>539</v>
      </c>
      <c r="D364" t="str">
        <f>HYPERLINK("PDF Output/21796/Jan 2022/32462022.pdf", "32462022")</f>
        <v>32462022</v>
      </c>
      <c r="E364" t="s">
        <v>18</v>
      </c>
      <c r="F364" t="s">
        <v>540</v>
      </c>
      <c r="G364" s="16">
        <v>500</v>
      </c>
    </row>
    <row r="365" spans="1:7" hidden="1" x14ac:dyDescent="0.25">
      <c r="A365" s="9">
        <v>44566</v>
      </c>
      <c r="B365" t="s">
        <v>27</v>
      </c>
      <c r="C365" t="s">
        <v>541</v>
      </c>
      <c r="D365" t="str">
        <f>HYPERLINK("PDF Output/21796/Jan 2022/32458702.pdf", "32458702")</f>
        <v>32458702</v>
      </c>
      <c r="E365" t="s">
        <v>18</v>
      </c>
      <c r="F365" t="s">
        <v>542</v>
      </c>
      <c r="G365" s="16">
        <v>1748</v>
      </c>
    </row>
    <row r="366" spans="1:7" hidden="1" x14ac:dyDescent="0.25">
      <c r="A366" s="9">
        <v>44567</v>
      </c>
      <c r="B366" t="s">
        <v>27</v>
      </c>
      <c r="C366" t="s">
        <v>215</v>
      </c>
      <c r="D366" t="str">
        <f>HYPERLINK("PDF Output/21796/Jan 2022/6674344.pdf", "6674344")</f>
        <v>6674344</v>
      </c>
      <c r="E366" t="s">
        <v>10</v>
      </c>
      <c r="F366" t="s">
        <v>216</v>
      </c>
      <c r="G366" s="16">
        <v>366</v>
      </c>
    </row>
    <row r="367" spans="1:7" x14ac:dyDescent="0.25">
      <c r="A367" s="9">
        <v>44567</v>
      </c>
      <c r="B367" t="s">
        <v>58</v>
      </c>
      <c r="C367" t="s">
        <v>128</v>
      </c>
      <c r="D367" t="str">
        <f>HYPERLINK("PDF Output/21787/Jan 2022/6674110.pdf", "6674110")</f>
        <v>6674110</v>
      </c>
      <c r="E367" t="s">
        <v>18</v>
      </c>
      <c r="F367" t="s">
        <v>543</v>
      </c>
      <c r="G367" s="16">
        <v>429</v>
      </c>
    </row>
    <row r="368" spans="1:7" hidden="1" x14ac:dyDescent="0.25">
      <c r="A368" s="9">
        <v>44572</v>
      </c>
      <c r="B368" t="s">
        <v>27</v>
      </c>
      <c r="C368" t="s">
        <v>544</v>
      </c>
      <c r="D368" t="str">
        <f>HYPERLINK("PDF Output/21796/Jan 2022/52SI 274857.pdf", "52SI/274857")</f>
        <v>52SI/274857</v>
      </c>
      <c r="E368" t="s">
        <v>18</v>
      </c>
      <c r="F368" t="s">
        <v>545</v>
      </c>
      <c r="G368" s="16">
        <v>11.6</v>
      </c>
    </row>
    <row r="369" spans="1:7" hidden="1" x14ac:dyDescent="0.25">
      <c r="A369" s="9">
        <v>44568</v>
      </c>
      <c r="B369" t="s">
        <v>27</v>
      </c>
      <c r="C369" t="s">
        <v>546</v>
      </c>
      <c r="D369" t="str">
        <f>HYPERLINK("PDF Output/21796/Jan 2022/32465866.pdf", "32465866")</f>
        <v>32465866</v>
      </c>
      <c r="E369" t="s">
        <v>18</v>
      </c>
      <c r="F369" t="s">
        <v>547</v>
      </c>
      <c r="G369" s="16">
        <v>655.5</v>
      </c>
    </row>
    <row r="370" spans="1:7" hidden="1" x14ac:dyDescent="0.25">
      <c r="A370" s="9">
        <v>44566</v>
      </c>
      <c r="B370" t="s">
        <v>27</v>
      </c>
      <c r="C370" t="s">
        <v>364</v>
      </c>
      <c r="D370" t="str">
        <f>HYPERLINK("PDF Output/21796/Jan 2022/40988 21796.pdf", "40988/21796")</f>
        <v>40988/21796</v>
      </c>
      <c r="E370" t="s">
        <v>10</v>
      </c>
      <c r="F370" t="s">
        <v>95</v>
      </c>
      <c r="G370" s="16">
        <v>179.44</v>
      </c>
    </row>
    <row r="371" spans="1:7" x14ac:dyDescent="0.25">
      <c r="A371" s="9">
        <v>44565</v>
      </c>
      <c r="B371" t="s">
        <v>58</v>
      </c>
      <c r="C371" t="s">
        <v>548</v>
      </c>
      <c r="D371" t="str">
        <f>HYPERLINK("PDF Output/21787/Jan 2022/589265.pdf", "589265")</f>
        <v>589265</v>
      </c>
      <c r="E371" t="s">
        <v>10</v>
      </c>
      <c r="F371" t="s">
        <v>549</v>
      </c>
      <c r="G371" s="16">
        <v>63.75</v>
      </c>
    </row>
    <row r="372" spans="1:7" x14ac:dyDescent="0.25">
      <c r="A372" s="9">
        <v>44568</v>
      </c>
      <c r="B372" t="s">
        <v>58</v>
      </c>
      <c r="C372" t="s">
        <v>234</v>
      </c>
      <c r="D372" t="str">
        <f>HYPERLINK("PDF Output/21787/Jan 2022/A10072.pdf", "A10072")</f>
        <v>A10072</v>
      </c>
      <c r="E372" t="s">
        <v>10</v>
      </c>
      <c r="F372" t="s">
        <v>550</v>
      </c>
      <c r="G372" s="16">
        <v>246</v>
      </c>
    </row>
    <row r="373" spans="1:7" x14ac:dyDescent="0.25">
      <c r="A373" s="9">
        <v>44573</v>
      </c>
      <c r="B373" t="s">
        <v>58</v>
      </c>
      <c r="C373" t="s">
        <v>245</v>
      </c>
      <c r="D373" t="str">
        <f>HYPERLINK("PDF Output/21787/Jan 2022/359346.pdf", "359346")</f>
        <v>359346</v>
      </c>
      <c r="E373" t="s">
        <v>10</v>
      </c>
      <c r="F373" t="s">
        <v>551</v>
      </c>
      <c r="G373" s="16">
        <v>720.8</v>
      </c>
    </row>
    <row r="374" spans="1:7" hidden="1" x14ac:dyDescent="0.25">
      <c r="A374" s="9">
        <v>26299</v>
      </c>
      <c r="B374" t="s">
        <v>30</v>
      </c>
      <c r="C374" t="s">
        <v>552</v>
      </c>
      <c r="D374" t="str">
        <f>HYPERLINK("PDF Output/0/Jan 1972/194.pdf", "194")</f>
        <v>194</v>
      </c>
      <c r="E374" t="s">
        <v>10</v>
      </c>
      <c r="F374" t="s">
        <v>30</v>
      </c>
      <c r="G374" s="16">
        <v>0</v>
      </c>
    </row>
    <row r="375" spans="1:7" x14ac:dyDescent="0.25">
      <c r="A375" s="9">
        <v>44571</v>
      </c>
      <c r="B375" t="s">
        <v>58</v>
      </c>
      <c r="C375" t="s">
        <v>245</v>
      </c>
      <c r="D375" t="str">
        <f>HYPERLINK("PDF Output/21787/Jan 2022/359202.pdf", "359202")</f>
        <v>359202</v>
      </c>
      <c r="E375" t="s">
        <v>10</v>
      </c>
      <c r="F375" t="s">
        <v>553</v>
      </c>
      <c r="G375" s="16">
        <v>1204.32</v>
      </c>
    </row>
    <row r="376" spans="1:7" hidden="1" x14ac:dyDescent="0.25">
      <c r="A376" s="9">
        <v>40544</v>
      </c>
      <c r="B376" t="s">
        <v>30</v>
      </c>
      <c r="C376" t="s">
        <v>554</v>
      </c>
      <c r="D376" t="str">
        <f>HYPERLINK("PDF Output/0/Jan 2011/CBDU87970.pdf", "CBDU87970")</f>
        <v>CBDU87970</v>
      </c>
      <c r="E376" t="s">
        <v>10</v>
      </c>
      <c r="F376" t="s">
        <v>555</v>
      </c>
      <c r="G376" s="16">
        <v>0</v>
      </c>
    </row>
    <row r="377" spans="1:7" x14ac:dyDescent="0.25">
      <c r="A377" s="9">
        <v>44571</v>
      </c>
      <c r="B377" t="s">
        <v>58</v>
      </c>
      <c r="C377" t="s">
        <v>245</v>
      </c>
      <c r="D377" t="str">
        <f>HYPERLINK("PDF Output/21787/Jan 2022/359215.pdf", "359215")</f>
        <v>359215</v>
      </c>
      <c r="E377" t="s">
        <v>10</v>
      </c>
      <c r="F377" t="s">
        <v>556</v>
      </c>
      <c r="G377" s="16">
        <v>210</v>
      </c>
    </row>
    <row r="378" spans="1:7" x14ac:dyDescent="0.25">
      <c r="A378" s="9">
        <v>44573</v>
      </c>
      <c r="B378" t="s">
        <v>58</v>
      </c>
      <c r="C378" t="s">
        <v>114</v>
      </c>
      <c r="D378" t="str">
        <f>HYPERLINK("PDF Output/21787/Jan 2022/25 11954035.pdf", "25/11954035")</f>
        <v>25/11954035</v>
      </c>
      <c r="E378" t="s">
        <v>10</v>
      </c>
      <c r="F378" t="s">
        <v>557</v>
      </c>
      <c r="G378" s="16">
        <v>36.5</v>
      </c>
    </row>
    <row r="379" spans="1:7" x14ac:dyDescent="0.25">
      <c r="A379" s="9">
        <v>44567</v>
      </c>
      <c r="B379" t="s">
        <v>58</v>
      </c>
      <c r="C379" t="s">
        <v>558</v>
      </c>
      <c r="D379" t="str">
        <f>HYPERLINK("PDF Output/21787/Jan 2022/71820126.pdf", "71820126")</f>
        <v>71820126</v>
      </c>
      <c r="E379" t="s">
        <v>10</v>
      </c>
      <c r="F379" t="s">
        <v>559</v>
      </c>
      <c r="G379" s="16">
        <v>20.51</v>
      </c>
    </row>
    <row r="380" spans="1:7" x14ac:dyDescent="0.25">
      <c r="A380" s="9">
        <v>44568</v>
      </c>
      <c r="B380" t="s">
        <v>58</v>
      </c>
      <c r="C380" t="s">
        <v>560</v>
      </c>
      <c r="D380" t="str">
        <f>HYPERLINK("PDF Output/21787/Jan 2022/A10073.pdf", "A10073")</f>
        <v>A10073</v>
      </c>
      <c r="E380" t="s">
        <v>10</v>
      </c>
      <c r="F380" t="s">
        <v>561</v>
      </c>
      <c r="G380" s="16">
        <v>615</v>
      </c>
    </row>
    <row r="381" spans="1:7" hidden="1" x14ac:dyDescent="0.25">
      <c r="A381" s="8">
        <v>44572</v>
      </c>
      <c r="B381" s="4" t="s">
        <v>93</v>
      </c>
      <c r="C381" s="4" t="s">
        <v>272</v>
      </c>
      <c r="D381" s="4" t="str">
        <f>HYPERLINK("PDF Output/21781/Jan 2022/52SI 274856.pdf", "52SI/274856")</f>
        <v>52SI/274856</v>
      </c>
      <c r="E381" s="4" t="s">
        <v>18</v>
      </c>
      <c r="F381" s="4" t="s">
        <v>562</v>
      </c>
      <c r="G381" s="4">
        <v>4344.37</v>
      </c>
    </row>
    <row r="382" spans="1:7" hidden="1" x14ac:dyDescent="0.25">
      <c r="A382" s="9">
        <v>44570</v>
      </c>
      <c r="B382" t="s">
        <v>185</v>
      </c>
      <c r="C382" t="s">
        <v>51</v>
      </c>
      <c r="D382" t="str">
        <f>HYPERLINK("PDF Output/19743/Jan 2022/479991.pdf", "479991")</f>
        <v>479991</v>
      </c>
      <c r="E382" t="s">
        <v>10</v>
      </c>
      <c r="F382" t="s">
        <v>563</v>
      </c>
      <c r="G382" s="16">
        <v>197</v>
      </c>
    </row>
    <row r="383" spans="1:7" hidden="1" x14ac:dyDescent="0.25">
      <c r="A383" s="9">
        <v>44567</v>
      </c>
      <c r="B383" t="s">
        <v>185</v>
      </c>
      <c r="C383" t="s">
        <v>28</v>
      </c>
      <c r="D383" t="str">
        <f>HYPERLINK("PDF Output/19743/Jan 2022/19743 24587.pdf", "19743/24587")</f>
        <v>19743/24587</v>
      </c>
      <c r="E383" t="s">
        <v>10</v>
      </c>
      <c r="F383" t="s">
        <v>30</v>
      </c>
      <c r="G383" s="16">
        <v>0</v>
      </c>
    </row>
    <row r="384" spans="1:7" hidden="1" x14ac:dyDescent="0.25">
      <c r="A384" s="9">
        <v>44538</v>
      </c>
      <c r="B384" t="s">
        <v>102</v>
      </c>
      <c r="C384" t="s">
        <v>164</v>
      </c>
      <c r="D384" t="str">
        <f>HYPERLINK("PDF Output/21786/Dec 2021/9049 All744.pdf", "9049 All744")</f>
        <v>9049 All744</v>
      </c>
      <c r="E384" t="s">
        <v>10</v>
      </c>
      <c r="F384" t="s">
        <v>564</v>
      </c>
      <c r="G384" s="16">
        <v>1505.04</v>
      </c>
    </row>
    <row r="385" spans="1:7" hidden="1" x14ac:dyDescent="0.25">
      <c r="A385" s="9">
        <v>44566</v>
      </c>
      <c r="B385" t="s">
        <v>185</v>
      </c>
      <c r="C385" t="s">
        <v>506</v>
      </c>
      <c r="D385" t="str">
        <f>HYPERLINK("PDF Output/19743/Jan 2022/4719 AAW842.pdf", "4719 AAW842")</f>
        <v>4719 AAW842</v>
      </c>
      <c r="E385" t="s">
        <v>10</v>
      </c>
      <c r="F385" t="s">
        <v>95</v>
      </c>
      <c r="G385" s="16">
        <v>12.14</v>
      </c>
    </row>
    <row r="386" spans="1:7" x14ac:dyDescent="0.25">
      <c r="A386" s="9">
        <v>44573</v>
      </c>
      <c r="B386" t="s">
        <v>58</v>
      </c>
      <c r="C386" t="s">
        <v>245</v>
      </c>
      <c r="D386" t="str">
        <f>HYPERLINK("PDF Output/21787/Jan 2022/21787 24193.pdf", "21787/24193")</f>
        <v>21787/24193</v>
      </c>
      <c r="E386" t="s">
        <v>10</v>
      </c>
      <c r="F386" t="s">
        <v>565</v>
      </c>
      <c r="G386" s="16">
        <v>933.6</v>
      </c>
    </row>
    <row r="387" spans="1:7" hidden="1" x14ac:dyDescent="0.25">
      <c r="A387" s="9">
        <v>44568</v>
      </c>
      <c r="B387" t="s">
        <v>30</v>
      </c>
      <c r="C387" t="s">
        <v>552</v>
      </c>
      <c r="D387" t="str">
        <f>HYPERLINK("PDF Output/0/Jan 2022/11028.pdf", "11028")</f>
        <v>11028</v>
      </c>
      <c r="E387" t="s">
        <v>10</v>
      </c>
      <c r="F387" t="s">
        <v>30</v>
      </c>
      <c r="G387" s="16">
        <v>0</v>
      </c>
    </row>
    <row r="388" spans="1:7" hidden="1" x14ac:dyDescent="0.25">
      <c r="A388" s="9">
        <v>44561</v>
      </c>
      <c r="B388" t="s">
        <v>566</v>
      </c>
      <c r="C388" t="s">
        <v>567</v>
      </c>
      <c r="D388" t="str">
        <f>HYPERLINK("PDF Output/18688/Dec 2021/10583198.pdf", "10583198")</f>
        <v>10583198</v>
      </c>
      <c r="E388" t="s">
        <v>10</v>
      </c>
      <c r="F388" t="s">
        <v>568</v>
      </c>
      <c r="G388" s="16">
        <v>69</v>
      </c>
    </row>
    <row r="389" spans="1:7" hidden="1" x14ac:dyDescent="0.25">
      <c r="A389" s="9">
        <v>44561</v>
      </c>
      <c r="B389" t="s">
        <v>569</v>
      </c>
      <c r="C389" t="s">
        <v>567</v>
      </c>
      <c r="D389" t="str">
        <f>HYPERLINK("PDF Output/21784/Dec 2021/10583199.pdf", "10583199")</f>
        <v>10583199</v>
      </c>
      <c r="E389" t="s">
        <v>10</v>
      </c>
      <c r="F389" t="s">
        <v>570</v>
      </c>
      <c r="G389" s="16">
        <v>92</v>
      </c>
    </row>
    <row r="390" spans="1:7" hidden="1" x14ac:dyDescent="0.25">
      <c r="A390" s="9">
        <v>40544</v>
      </c>
      <c r="B390" t="s">
        <v>30</v>
      </c>
      <c r="C390" t="s">
        <v>571</v>
      </c>
      <c r="D390" t="str">
        <f>HYPERLINK("PDF Output/0/Jan 2011/21.pdf", "21")</f>
        <v>21</v>
      </c>
      <c r="E390" t="s">
        <v>10</v>
      </c>
      <c r="F390" t="s">
        <v>30</v>
      </c>
      <c r="G390" s="16">
        <v>0</v>
      </c>
    </row>
    <row r="391" spans="1:7" hidden="1" x14ac:dyDescent="0.25">
      <c r="A391" s="9">
        <v>40544</v>
      </c>
      <c r="B391" t="s">
        <v>30</v>
      </c>
      <c r="C391" t="s">
        <v>572</v>
      </c>
      <c r="D391" t="str">
        <f>HYPERLINK("PDF Output/0/Jan 2011/21.pdf", "21")</f>
        <v>21</v>
      </c>
      <c r="E391" t="s">
        <v>10</v>
      </c>
      <c r="F391" t="s">
        <v>30</v>
      </c>
      <c r="G391" s="16">
        <v>0</v>
      </c>
    </row>
    <row r="392" spans="1:7" hidden="1" x14ac:dyDescent="0.25">
      <c r="A392" s="9">
        <v>40544</v>
      </c>
      <c r="B392" t="s">
        <v>30</v>
      </c>
      <c r="C392" t="s">
        <v>571</v>
      </c>
      <c r="D392" t="str">
        <f>HYPERLINK("PDF Output/0/Jan 2011/21.pdf", "21")</f>
        <v>21</v>
      </c>
      <c r="E392" t="s">
        <v>10</v>
      </c>
      <c r="F392" t="s">
        <v>573</v>
      </c>
      <c r="G392" s="16">
        <v>0</v>
      </c>
    </row>
    <row r="393" spans="1:7" hidden="1" x14ac:dyDescent="0.25">
      <c r="A393" s="9">
        <v>40544</v>
      </c>
      <c r="B393" t="s">
        <v>30</v>
      </c>
      <c r="C393" t="s">
        <v>572</v>
      </c>
      <c r="D393" t="str">
        <f>HYPERLINK("PDF Output/0/Jan 2011/21.pdf", "21")</f>
        <v>21</v>
      </c>
      <c r="E393" t="s">
        <v>10</v>
      </c>
      <c r="F393" t="s">
        <v>30</v>
      </c>
      <c r="G393" s="16">
        <v>0</v>
      </c>
    </row>
    <row r="394" spans="1:7" hidden="1" x14ac:dyDescent="0.25">
      <c r="A394" s="9">
        <v>44568</v>
      </c>
      <c r="B394" t="s">
        <v>27</v>
      </c>
      <c r="C394" t="s">
        <v>574</v>
      </c>
      <c r="D394" t="str">
        <f>HYPERLINK("PDF Output/21796/Jan 2022/79828846.pdf", "79828846")</f>
        <v>79828846</v>
      </c>
      <c r="E394" t="s">
        <v>10</v>
      </c>
      <c r="F394" t="s">
        <v>575</v>
      </c>
      <c r="G394" s="16">
        <v>15.31</v>
      </c>
    </row>
    <row r="395" spans="1:7" hidden="1" x14ac:dyDescent="0.25">
      <c r="A395" s="9">
        <v>44571</v>
      </c>
      <c r="B395" t="s">
        <v>27</v>
      </c>
      <c r="C395" t="s">
        <v>342</v>
      </c>
      <c r="D395" t="str">
        <f>HYPERLINK("PDF Output/21796/Jan 2022/1216 AKR859.pdf", "1216 AKR859")</f>
        <v>1216 AKR859</v>
      </c>
      <c r="E395" t="s">
        <v>10</v>
      </c>
      <c r="F395" t="s">
        <v>97</v>
      </c>
      <c r="G395" s="16">
        <v>97</v>
      </c>
    </row>
    <row r="396" spans="1:7" hidden="1" x14ac:dyDescent="0.25">
      <c r="A396" s="9">
        <v>44561</v>
      </c>
      <c r="B396" t="s">
        <v>569</v>
      </c>
      <c r="C396" t="s">
        <v>567</v>
      </c>
      <c r="D396" t="str">
        <f>HYPERLINK("PDF Output/21784/Dec 2021/10583200.pdf", "10583200")</f>
        <v>10583200</v>
      </c>
      <c r="E396" t="s">
        <v>10</v>
      </c>
      <c r="F396" t="s">
        <v>568</v>
      </c>
      <c r="G396" s="16">
        <v>69</v>
      </c>
    </row>
    <row r="397" spans="1:7" hidden="1" x14ac:dyDescent="0.25">
      <c r="A397" s="9">
        <v>44561</v>
      </c>
      <c r="B397" t="s">
        <v>569</v>
      </c>
      <c r="C397" t="s">
        <v>567</v>
      </c>
      <c r="D397" t="str">
        <f>HYPERLINK("PDF Output/21784/Dec 2021/10583201.pdf", "10583201")</f>
        <v>10583201</v>
      </c>
      <c r="E397" t="s">
        <v>10</v>
      </c>
      <c r="F397" t="s">
        <v>568</v>
      </c>
      <c r="G397" s="16">
        <v>69</v>
      </c>
    </row>
    <row r="398" spans="1:7" hidden="1" x14ac:dyDescent="0.25">
      <c r="A398" s="9">
        <v>44561</v>
      </c>
      <c r="B398" t="s">
        <v>569</v>
      </c>
      <c r="C398" t="s">
        <v>567</v>
      </c>
      <c r="D398" t="str">
        <f>HYPERLINK("PDF Output/21784/Dec 2021/10583202.pdf", "10583202")</f>
        <v>10583202</v>
      </c>
      <c r="E398" t="s">
        <v>10</v>
      </c>
      <c r="F398" t="s">
        <v>576</v>
      </c>
      <c r="G398" s="16">
        <v>164.52</v>
      </c>
    </row>
    <row r="399" spans="1:7" hidden="1" x14ac:dyDescent="0.25">
      <c r="A399" s="9">
        <v>44561</v>
      </c>
      <c r="B399" t="s">
        <v>569</v>
      </c>
      <c r="C399" t="s">
        <v>567</v>
      </c>
      <c r="D399" t="str">
        <f>HYPERLINK("PDF Output/21784/Dec 2021/10583203.pdf", "10583203")</f>
        <v>10583203</v>
      </c>
      <c r="E399" t="s">
        <v>10</v>
      </c>
      <c r="F399" t="s">
        <v>577</v>
      </c>
      <c r="G399" s="16">
        <v>272.88</v>
      </c>
    </row>
    <row r="400" spans="1:7" hidden="1" x14ac:dyDescent="0.25">
      <c r="A400" s="9">
        <v>44561</v>
      </c>
      <c r="B400" t="s">
        <v>566</v>
      </c>
      <c r="C400" t="s">
        <v>567</v>
      </c>
      <c r="D400" t="str">
        <f>HYPERLINK("PDF Output/18688/Dec 2021/10583204.pdf", "10583204")</f>
        <v>10583204</v>
      </c>
      <c r="E400" t="s">
        <v>10</v>
      </c>
      <c r="F400" t="s">
        <v>578</v>
      </c>
      <c r="G400" s="16">
        <v>55.989999999999988</v>
      </c>
    </row>
    <row r="401" spans="1:7" hidden="1" x14ac:dyDescent="0.25">
      <c r="A401" s="9">
        <v>44561</v>
      </c>
      <c r="B401" t="s">
        <v>569</v>
      </c>
      <c r="C401" t="s">
        <v>567</v>
      </c>
      <c r="D401" t="str">
        <f>HYPERLINK("PDF Output/21784/Dec 2021/10583211.pdf", "10583211")</f>
        <v>10583211</v>
      </c>
      <c r="E401" t="s">
        <v>10</v>
      </c>
      <c r="F401" t="s">
        <v>579</v>
      </c>
      <c r="G401" s="16">
        <v>206.77</v>
      </c>
    </row>
    <row r="402" spans="1:7" hidden="1" x14ac:dyDescent="0.25">
      <c r="A402" s="9">
        <v>44547</v>
      </c>
      <c r="B402" t="s">
        <v>27</v>
      </c>
      <c r="C402" t="s">
        <v>142</v>
      </c>
      <c r="D402" t="str">
        <f>HYPERLINK("PDF Output/21796/Dec 2021/21796 24583.pdf", "21796/24583")</f>
        <v>21796/24583</v>
      </c>
      <c r="E402" t="s">
        <v>18</v>
      </c>
      <c r="F402" t="s">
        <v>580</v>
      </c>
      <c r="G402" s="16">
        <v>94.41</v>
      </c>
    </row>
    <row r="403" spans="1:7" hidden="1" x14ac:dyDescent="0.25">
      <c r="G403" s="16"/>
    </row>
    <row r="404" spans="1:7" x14ac:dyDescent="0.25">
      <c r="A404" s="9">
        <v>44561</v>
      </c>
      <c r="B404" t="s">
        <v>58</v>
      </c>
      <c r="C404" t="s">
        <v>581</v>
      </c>
      <c r="D404" t="str">
        <f>HYPERLINK("PDF Output/21787/Dec 2021/11447.pdf", "11447")</f>
        <v>11447</v>
      </c>
      <c r="E404" t="s">
        <v>10</v>
      </c>
      <c r="F404" s="13">
        <v>96750</v>
      </c>
      <c r="G404" s="16">
        <v>7000</v>
      </c>
    </row>
    <row r="405" spans="1:7" hidden="1" x14ac:dyDescent="0.25">
      <c r="A405" s="9">
        <v>44573</v>
      </c>
      <c r="B405" t="s">
        <v>185</v>
      </c>
      <c r="C405" t="s">
        <v>582</v>
      </c>
      <c r="D405" t="str">
        <f>HYPERLINK("PDF Output/19743/Jan 2022/5088804.pdf", "5088804")</f>
        <v>5088804</v>
      </c>
      <c r="E405" t="s">
        <v>18</v>
      </c>
      <c r="F405" t="s">
        <v>583</v>
      </c>
      <c r="G405" s="16">
        <v>356.42</v>
      </c>
    </row>
    <row r="406" spans="1:7" hidden="1" x14ac:dyDescent="0.25">
      <c r="A406" s="8">
        <v>44561</v>
      </c>
      <c r="B406" s="4" t="s">
        <v>93</v>
      </c>
      <c r="C406" s="4" t="s">
        <v>567</v>
      </c>
      <c r="D406" s="4" t="str">
        <f>HYPERLINK("PDF Output/21781/Dec 2021/10583215.pdf", "10583215")</f>
        <v>10583215</v>
      </c>
      <c r="E406" s="4" t="s">
        <v>10</v>
      </c>
      <c r="F406" s="4" t="s">
        <v>584</v>
      </c>
      <c r="G406" s="4">
        <v>277.64999999999998</v>
      </c>
    </row>
    <row r="407" spans="1:7" hidden="1" x14ac:dyDescent="0.25">
      <c r="A407" s="9">
        <v>44537</v>
      </c>
      <c r="B407" t="s">
        <v>185</v>
      </c>
      <c r="C407" t="s">
        <v>585</v>
      </c>
      <c r="D407" t="str">
        <f>HYPERLINK("PDF Output/19743/Dec 2021/SPSIN SP 0000671415.pdf", "SPSIN/SP/0000671415")</f>
        <v>SPSIN/SP/0000671415</v>
      </c>
      <c r="E407" t="s">
        <v>10</v>
      </c>
      <c r="F407" t="s">
        <v>586</v>
      </c>
      <c r="G407" s="16">
        <v>11.9</v>
      </c>
    </row>
    <row r="408" spans="1:7" x14ac:dyDescent="0.25">
      <c r="A408" s="9">
        <v>44540</v>
      </c>
      <c r="B408" t="s">
        <v>58</v>
      </c>
      <c r="C408" t="s">
        <v>560</v>
      </c>
      <c r="D408" t="str">
        <f>HYPERLINK("PDF Output/21787/Dec 2021/A9795.pdf", "A9795")</f>
        <v>A9795</v>
      </c>
      <c r="E408" t="s">
        <v>10</v>
      </c>
      <c r="F408" t="s">
        <v>587</v>
      </c>
      <c r="G408" s="16">
        <v>82</v>
      </c>
    </row>
    <row r="409" spans="1:7" x14ac:dyDescent="0.25">
      <c r="A409" s="9">
        <v>44544</v>
      </c>
      <c r="B409" t="s">
        <v>58</v>
      </c>
      <c r="C409" t="s">
        <v>588</v>
      </c>
      <c r="D409" t="str">
        <f>HYPERLINK("PDF Output/21787/Dec 2021/A9833.pdf", "A9833")</f>
        <v>A9833</v>
      </c>
      <c r="E409" t="s">
        <v>10</v>
      </c>
      <c r="F409" t="s">
        <v>589</v>
      </c>
      <c r="G409" s="16">
        <v>123</v>
      </c>
    </row>
    <row r="410" spans="1:7" x14ac:dyDescent="0.25">
      <c r="A410" s="9">
        <v>44567</v>
      </c>
      <c r="B410" t="s">
        <v>58</v>
      </c>
      <c r="C410" t="s">
        <v>191</v>
      </c>
      <c r="D410" t="str">
        <f>HYPERLINK("PDF Output/21787/Jan 2022/0072 30048878.pdf", "0072/30048878")</f>
        <v>0072/30048878</v>
      </c>
      <c r="E410" t="s">
        <v>10</v>
      </c>
      <c r="F410" t="s">
        <v>590</v>
      </c>
      <c r="G410" s="16">
        <v>232.92</v>
      </c>
    </row>
    <row r="411" spans="1:7" hidden="1" x14ac:dyDescent="0.25">
      <c r="A411" s="8">
        <v>44568</v>
      </c>
      <c r="B411" s="4" t="s">
        <v>93</v>
      </c>
      <c r="C411" s="4" t="s">
        <v>342</v>
      </c>
      <c r="D411" s="4" t="str">
        <f>HYPERLINK("PDF Output/21781/Jan 2022/1203 AIJ567.pdf", "1203 AIJ567")</f>
        <v>1203 AIJ567</v>
      </c>
      <c r="E411" s="4" t="s">
        <v>10</v>
      </c>
      <c r="F411" s="4" t="s">
        <v>591</v>
      </c>
      <c r="G411" s="4">
        <v>563.70000000000005</v>
      </c>
    </row>
    <row r="412" spans="1:7" hidden="1" x14ac:dyDescent="0.25">
      <c r="A412" s="8">
        <v>44567</v>
      </c>
      <c r="B412" s="4" t="s">
        <v>93</v>
      </c>
      <c r="C412" s="4" t="s">
        <v>342</v>
      </c>
      <c r="D412" s="11" t="str">
        <f>HYPERLINK("PDF Output/21781/Jan 2022/1203 AIJ526.pdf", "1203 AIJ526")</f>
        <v>1203 AIJ526</v>
      </c>
      <c r="E412" s="4" t="s">
        <v>10</v>
      </c>
      <c r="F412" s="4" t="s">
        <v>97</v>
      </c>
      <c r="G412" s="4">
        <v>26.38</v>
      </c>
    </row>
    <row r="413" spans="1:7" hidden="1" x14ac:dyDescent="0.25">
      <c r="A413" s="8">
        <v>44567</v>
      </c>
      <c r="B413" s="4" t="s">
        <v>93</v>
      </c>
      <c r="C413" s="4" t="s">
        <v>342</v>
      </c>
      <c r="D413" s="11" t="str">
        <f>HYPERLINK("PDF Output/21781/Jan 2022/1203 AIJ519.pdf", "1203 AIJ519")</f>
        <v>1203 AIJ519</v>
      </c>
      <c r="E413" s="4" t="s">
        <v>10</v>
      </c>
      <c r="F413" s="4" t="s">
        <v>95</v>
      </c>
      <c r="G413" s="4">
        <v>134.49</v>
      </c>
    </row>
    <row r="414" spans="1:7" x14ac:dyDescent="0.25">
      <c r="A414" s="9">
        <v>44575</v>
      </c>
      <c r="B414" t="s">
        <v>58</v>
      </c>
      <c r="C414" t="s">
        <v>592</v>
      </c>
      <c r="D414" t="str">
        <f>HYPERLINK("PDF Output/21787/Jan 2022/340125.pdf", "340125")</f>
        <v>340125</v>
      </c>
      <c r="E414" t="s">
        <v>10</v>
      </c>
      <c r="F414" t="s">
        <v>593</v>
      </c>
      <c r="G414" s="16">
        <v>4689.5</v>
      </c>
    </row>
    <row r="415" spans="1:7" x14ac:dyDescent="0.25">
      <c r="A415" s="9">
        <v>44574</v>
      </c>
      <c r="B415" t="s">
        <v>58</v>
      </c>
      <c r="C415" t="s">
        <v>594</v>
      </c>
      <c r="D415" t="str">
        <f>HYPERLINK("PDF Output/21787/Jan 2022/102394.pdf", "102394")</f>
        <v>102394</v>
      </c>
      <c r="E415" t="s">
        <v>10</v>
      </c>
      <c r="F415" t="s">
        <v>595</v>
      </c>
      <c r="G415" s="16">
        <v>75.5</v>
      </c>
    </row>
    <row r="416" spans="1:7" x14ac:dyDescent="0.25">
      <c r="A416" s="9">
        <v>44561</v>
      </c>
      <c r="B416" t="s">
        <v>58</v>
      </c>
      <c r="C416" s="4" t="s">
        <v>567</v>
      </c>
      <c r="D416" t="str">
        <f>HYPERLINK("PDF Output/21787/Dec 2021/10583224.pdf", "10583224")</f>
        <v>10583224</v>
      </c>
      <c r="E416" t="s">
        <v>10</v>
      </c>
      <c r="F416" t="s">
        <v>596</v>
      </c>
      <c r="G416" s="16">
        <v>155.02000000000001</v>
      </c>
    </row>
    <row r="417" spans="1:7" x14ac:dyDescent="0.25">
      <c r="A417" s="9">
        <v>44574</v>
      </c>
      <c r="B417" t="s">
        <v>58</v>
      </c>
      <c r="C417" t="s">
        <v>114</v>
      </c>
      <c r="D417" t="str">
        <f>HYPERLINK("PDF Output/21787/Jan 2022/25 11954675.pdf", "25/11954675")</f>
        <v>25/11954675</v>
      </c>
      <c r="E417" t="s">
        <v>10</v>
      </c>
      <c r="F417" t="s">
        <v>597</v>
      </c>
      <c r="G417" s="16">
        <v>202.23</v>
      </c>
    </row>
    <row r="418" spans="1:7" ht="30" hidden="1" customHeight="1" x14ac:dyDescent="0.25">
      <c r="A418" s="9">
        <v>44575</v>
      </c>
      <c r="B418" t="s">
        <v>93</v>
      </c>
      <c r="C418" s="12" t="s">
        <v>598</v>
      </c>
      <c r="D418" t="str">
        <f>HYPERLINK("PDF Output/21781/Jan 2022/104642.pdf", "104642")</f>
        <v>104642</v>
      </c>
      <c r="E418" t="s">
        <v>10</v>
      </c>
      <c r="F418" t="s">
        <v>46</v>
      </c>
      <c r="G418" s="16">
        <v>96.26</v>
      </c>
    </row>
    <row r="419" spans="1:7" hidden="1" x14ac:dyDescent="0.25">
      <c r="A419" s="9">
        <v>44561</v>
      </c>
      <c r="B419" t="s">
        <v>102</v>
      </c>
      <c r="C419" s="4" t="s">
        <v>567</v>
      </c>
      <c r="D419" t="str">
        <f>HYPERLINK("PDF Output/21786/Dec 2021/10583218.pdf", "10583218")</f>
        <v>10583218</v>
      </c>
      <c r="E419" t="s">
        <v>10</v>
      </c>
      <c r="F419" t="s">
        <v>599</v>
      </c>
      <c r="G419" s="16">
        <v>77.510000000000005</v>
      </c>
    </row>
    <row r="420" spans="1:7" hidden="1" x14ac:dyDescent="0.25">
      <c r="A420" s="9">
        <v>44561</v>
      </c>
      <c r="B420" t="s">
        <v>102</v>
      </c>
      <c r="C420" s="4" t="s">
        <v>567</v>
      </c>
      <c r="D420" t="str">
        <f>HYPERLINK("PDF Output/21786/Dec 2021/10583219.pdf", "10583219")</f>
        <v>10583219</v>
      </c>
      <c r="E420" t="s">
        <v>10</v>
      </c>
      <c r="F420" t="s">
        <v>600</v>
      </c>
      <c r="G420" s="16">
        <v>181.9</v>
      </c>
    </row>
    <row r="421" spans="1:7" hidden="1" x14ac:dyDescent="0.25">
      <c r="A421" s="9">
        <v>44561</v>
      </c>
      <c r="B421" t="s">
        <v>102</v>
      </c>
      <c r="C421" s="4" t="s">
        <v>567</v>
      </c>
      <c r="D421" t="str">
        <f>HYPERLINK("PDF Output/21786/Dec 2021/10583220.pdf", "10583220")</f>
        <v>10583220</v>
      </c>
      <c r="E421" t="s">
        <v>10</v>
      </c>
      <c r="F421" t="s">
        <v>601</v>
      </c>
      <c r="G421" s="16">
        <v>75.360000000000014</v>
      </c>
    </row>
    <row r="422" spans="1:7" hidden="1" x14ac:dyDescent="0.25">
      <c r="A422" s="8">
        <v>44561</v>
      </c>
      <c r="B422" s="4" t="s">
        <v>93</v>
      </c>
      <c r="C422" s="4" t="s">
        <v>567</v>
      </c>
      <c r="D422" s="4" t="str">
        <f>HYPERLINK("PDF Output/21781/Dec 2021/10583206.pdf", "10583206")</f>
        <v>10583206</v>
      </c>
      <c r="E422" s="4" t="s">
        <v>10</v>
      </c>
      <c r="F422" s="4" t="s">
        <v>602</v>
      </c>
      <c r="G422" s="4">
        <v>103.36</v>
      </c>
    </row>
    <row r="423" spans="1:7" hidden="1" x14ac:dyDescent="0.25">
      <c r="A423" s="8">
        <v>44561</v>
      </c>
      <c r="B423" s="4" t="s">
        <v>93</v>
      </c>
      <c r="C423" s="4" t="s">
        <v>567</v>
      </c>
      <c r="D423" s="4" t="str">
        <f>HYPERLINK("PDF Output/21781/Dec 2021/10583212.pdf", "10583212")</f>
        <v>10583212</v>
      </c>
      <c r="E423" s="4" t="s">
        <v>10</v>
      </c>
      <c r="F423" s="4" t="s">
        <v>603</v>
      </c>
      <c r="G423" s="4">
        <v>115</v>
      </c>
    </row>
    <row r="424" spans="1:7" hidden="1" x14ac:dyDescent="0.25">
      <c r="A424" s="8">
        <v>44561</v>
      </c>
      <c r="B424" s="4" t="s">
        <v>93</v>
      </c>
      <c r="C424" s="4" t="s">
        <v>237</v>
      </c>
      <c r="D424" s="4" t="str">
        <f>HYPERLINK("PDF Output/21781/Dec 2021/10583213.pdf", "10583213")</f>
        <v>10583213</v>
      </c>
      <c r="E424" s="4" t="s">
        <v>10</v>
      </c>
      <c r="F424" s="4" t="s">
        <v>604</v>
      </c>
      <c r="G424" s="4">
        <v>62.01</v>
      </c>
    </row>
    <row r="425" spans="1:7" hidden="1" x14ac:dyDescent="0.25">
      <c r="A425" s="8">
        <v>44561</v>
      </c>
      <c r="B425" s="4" t="s">
        <v>93</v>
      </c>
      <c r="C425" s="4" t="s">
        <v>237</v>
      </c>
      <c r="D425" s="4" t="str">
        <f>HYPERLINK("PDF Output/21781/Dec 2021/10583214.pdf", "10583214")</f>
        <v>10583214</v>
      </c>
      <c r="E425" s="4" t="s">
        <v>10</v>
      </c>
      <c r="F425" s="4" t="s">
        <v>605</v>
      </c>
      <c r="G425" s="4">
        <v>144.09</v>
      </c>
    </row>
    <row r="426" spans="1:7" hidden="1" x14ac:dyDescent="0.25">
      <c r="A426" s="9">
        <v>44574</v>
      </c>
      <c r="B426">
        <v>21796</v>
      </c>
      <c r="C426" t="s">
        <v>606</v>
      </c>
      <c r="D426" t="str">
        <f>HYPERLINK("PDF Output//Jan 2022/80SI 12052.pdf", "80SI/12052")</f>
        <v>80SI/12052</v>
      </c>
      <c r="E426" t="s">
        <v>18</v>
      </c>
      <c r="F426" t="s">
        <v>607</v>
      </c>
      <c r="G426" s="16">
        <v>43.75</v>
      </c>
    </row>
    <row r="427" spans="1:7" hidden="1" x14ac:dyDescent="0.25">
      <c r="A427" s="9">
        <v>44575</v>
      </c>
      <c r="B427" t="s">
        <v>27</v>
      </c>
      <c r="C427" t="s">
        <v>142</v>
      </c>
      <c r="D427" t="str">
        <f>HYPERLINK("PDF Output/21796/Jan 2022/21796 24638.pdf", "21796/24638")</f>
        <v>21796/24638</v>
      </c>
      <c r="E427" t="s">
        <v>18</v>
      </c>
      <c r="F427" t="s">
        <v>608</v>
      </c>
      <c r="G427" s="16">
        <v>73.02</v>
      </c>
    </row>
    <row r="428" spans="1:7" hidden="1" x14ac:dyDescent="0.25">
      <c r="A428" s="4">
        <v>44567</v>
      </c>
      <c r="B428" s="4" t="s">
        <v>93</v>
      </c>
      <c r="C428" s="4" t="s">
        <v>609</v>
      </c>
      <c r="D428" s="4" t="str">
        <f>HYPERLINK("PDF Output/21781/Jan 2022/3362 AOC153.pdf", "3362 AOC153")</f>
        <v>3362 AOC153</v>
      </c>
      <c r="E428" s="4" t="s">
        <v>10</v>
      </c>
      <c r="F428" s="4" t="s">
        <v>95</v>
      </c>
      <c r="G428" s="4">
        <v>50.17</v>
      </c>
    </row>
    <row r="429" spans="1:7" hidden="1" x14ac:dyDescent="0.25">
      <c r="A429" s="9">
        <v>44571</v>
      </c>
      <c r="B429" t="s">
        <v>27</v>
      </c>
      <c r="C429" t="s">
        <v>164</v>
      </c>
      <c r="D429" t="str">
        <f>HYPERLINK("PDF Output/21796/Jan 2022/2480 ADT122.pdf", "2480 ADT122")</f>
        <v>2480 ADT122</v>
      </c>
      <c r="E429" t="s">
        <v>10</v>
      </c>
      <c r="F429" t="s">
        <v>610</v>
      </c>
      <c r="G429" s="16">
        <v>16.38</v>
      </c>
    </row>
    <row r="430" spans="1:7" hidden="1" x14ac:dyDescent="0.25">
      <c r="A430" s="9">
        <v>44568</v>
      </c>
      <c r="B430" t="s">
        <v>27</v>
      </c>
      <c r="C430" t="s">
        <v>164</v>
      </c>
      <c r="D430" t="str">
        <f>HYPERLINK("PDF Output/21796/Jan 2022/2480 ADT039.pdf", "2480 ADT039")</f>
        <v>2480 ADT039</v>
      </c>
      <c r="E430" t="s">
        <v>10</v>
      </c>
      <c r="F430" t="s">
        <v>95</v>
      </c>
      <c r="G430" s="16">
        <v>67.849999999999994</v>
      </c>
    </row>
    <row r="431" spans="1:7" hidden="1" x14ac:dyDescent="0.25">
      <c r="A431" s="9">
        <v>44567</v>
      </c>
      <c r="B431" t="s">
        <v>27</v>
      </c>
      <c r="C431" t="s">
        <v>164</v>
      </c>
      <c r="D431" t="str">
        <f>HYPERLINK("PDF Output/21796/Jan 2022/2480 ADS957.pdf", "2480 ADS957")</f>
        <v>2480 ADS957</v>
      </c>
      <c r="E431" t="s">
        <v>10</v>
      </c>
      <c r="F431" t="s">
        <v>611</v>
      </c>
      <c r="G431" s="16">
        <v>88.02</v>
      </c>
    </row>
    <row r="432" spans="1:7" hidden="1" x14ac:dyDescent="0.25">
      <c r="A432" s="9">
        <v>44571</v>
      </c>
      <c r="B432" t="s">
        <v>27</v>
      </c>
      <c r="C432" t="s">
        <v>154</v>
      </c>
      <c r="D432" t="str">
        <f>HYPERLINK("PDF Output/21796/Jan 2022/S18183919.pdf", "S18183919")</f>
        <v>S18183919</v>
      </c>
      <c r="E432" t="s">
        <v>18</v>
      </c>
      <c r="F432" t="s">
        <v>612</v>
      </c>
      <c r="G432" s="16">
        <v>638.53</v>
      </c>
    </row>
    <row r="433" spans="1:7" hidden="1" x14ac:dyDescent="0.25">
      <c r="A433" s="9">
        <v>44568</v>
      </c>
      <c r="B433" t="s">
        <v>27</v>
      </c>
      <c r="C433" t="s">
        <v>327</v>
      </c>
      <c r="D433" t="str">
        <f>HYPERLINK("PDF Output/21796/Jan 2022/S18182524.pdf", "S18182524")</f>
        <v>S18182524</v>
      </c>
      <c r="E433" t="s">
        <v>10</v>
      </c>
      <c r="F433" t="s">
        <v>27</v>
      </c>
      <c r="G433" s="16">
        <v>46</v>
      </c>
    </row>
    <row r="434" spans="1:7" hidden="1" x14ac:dyDescent="0.25">
      <c r="A434" s="9">
        <v>44572</v>
      </c>
      <c r="B434" t="s">
        <v>27</v>
      </c>
      <c r="C434" t="s">
        <v>613</v>
      </c>
      <c r="D434" t="str">
        <f>HYPERLINK("PDF Output/21796/Jan 2022/32476069.pdf", "32476069")</f>
        <v>32476069</v>
      </c>
      <c r="E434" t="s">
        <v>18</v>
      </c>
      <c r="F434" t="s">
        <v>614</v>
      </c>
      <c r="G434" s="16">
        <v>417</v>
      </c>
    </row>
    <row r="435" spans="1:7" hidden="1" x14ac:dyDescent="0.25">
      <c r="A435" s="9">
        <v>44572</v>
      </c>
      <c r="B435" t="s">
        <v>27</v>
      </c>
      <c r="C435" t="s">
        <v>541</v>
      </c>
      <c r="D435" t="str">
        <f>HYPERLINK("PDF Output/21796/Jan 2022/32476070.pdf", "32476070")</f>
        <v>32476070</v>
      </c>
      <c r="E435" t="s">
        <v>10</v>
      </c>
      <c r="F435" t="s">
        <v>615</v>
      </c>
      <c r="G435" s="16">
        <v>55</v>
      </c>
    </row>
    <row r="436" spans="1:7" hidden="1" x14ac:dyDescent="0.25">
      <c r="A436" s="4">
        <v>44568</v>
      </c>
      <c r="B436" s="4" t="s">
        <v>8</v>
      </c>
      <c r="C436" s="4" t="s">
        <v>616</v>
      </c>
      <c r="D436" s="4" t="str">
        <f>HYPERLINK("PDF Output/21785/Jan 2022/SW8919.pdf", "SW8919")</f>
        <v>SW8919</v>
      </c>
      <c r="E436" s="4" t="s">
        <v>10</v>
      </c>
      <c r="F436" s="4" t="s">
        <v>617</v>
      </c>
      <c r="G436" s="4">
        <v>1160</v>
      </c>
    </row>
    <row r="437" spans="1:7" hidden="1" x14ac:dyDescent="0.25">
      <c r="A437" s="9">
        <v>40544</v>
      </c>
      <c r="B437" t="s">
        <v>30</v>
      </c>
      <c r="C437" t="s">
        <v>571</v>
      </c>
      <c r="D437" t="str">
        <f>HYPERLINK("PDF Output/0/Jan 2011/21.pdf", "21")</f>
        <v>21</v>
      </c>
      <c r="E437" t="s">
        <v>10</v>
      </c>
      <c r="F437" t="s">
        <v>618</v>
      </c>
      <c r="G437" s="16">
        <v>0</v>
      </c>
    </row>
    <row r="438" spans="1:7" hidden="1" x14ac:dyDescent="0.25">
      <c r="A438" s="9">
        <v>44567</v>
      </c>
      <c r="B438" t="s">
        <v>27</v>
      </c>
      <c r="C438" t="s">
        <v>444</v>
      </c>
      <c r="D438" t="str">
        <f>HYPERLINK("PDF Output/21796/Jan 2022/21796 24638.pdf", "21796/24638")</f>
        <v>21796/24638</v>
      </c>
      <c r="E438" t="s">
        <v>10</v>
      </c>
      <c r="F438" t="s">
        <v>619</v>
      </c>
      <c r="G438" s="16">
        <v>0</v>
      </c>
    </row>
    <row r="439" spans="1:7" hidden="1" x14ac:dyDescent="0.25">
      <c r="A439" s="9">
        <v>44573</v>
      </c>
      <c r="B439" t="s">
        <v>27</v>
      </c>
      <c r="C439" t="s">
        <v>215</v>
      </c>
      <c r="D439" t="str">
        <f>HYPERLINK("PDF Output/21796/Jan 2022/6704082.pdf", "6704082")</f>
        <v>6704082</v>
      </c>
      <c r="E439" t="s">
        <v>10</v>
      </c>
      <c r="F439" t="s">
        <v>216</v>
      </c>
      <c r="G439" s="16">
        <v>312.64</v>
      </c>
    </row>
    <row r="440" spans="1:7" hidden="1" x14ac:dyDescent="0.25">
      <c r="A440" s="9">
        <v>44573</v>
      </c>
      <c r="B440" t="s">
        <v>27</v>
      </c>
      <c r="C440" t="s">
        <v>164</v>
      </c>
      <c r="D440" t="str">
        <f>HYPERLINK("PDF Output/21796/Jan 2022/2480 ADT380.pdf", "2480 ADT380")</f>
        <v>2480 ADT380</v>
      </c>
      <c r="E440" t="s">
        <v>10</v>
      </c>
      <c r="F440" t="s">
        <v>95</v>
      </c>
      <c r="G440" s="16">
        <v>33.119999999999997</v>
      </c>
    </row>
    <row r="441" spans="1:7" hidden="1" x14ac:dyDescent="0.25">
      <c r="A441" s="9">
        <v>44573</v>
      </c>
      <c r="B441" t="s">
        <v>27</v>
      </c>
      <c r="C441" t="s">
        <v>164</v>
      </c>
      <c r="D441" t="str">
        <f>HYPERLINK("PDF Output/21796/Jan 2022/2480 ADT328.pdf", "2480 ADT328")</f>
        <v>2480 ADT328</v>
      </c>
      <c r="E441" t="s">
        <v>10</v>
      </c>
      <c r="F441" t="s">
        <v>95</v>
      </c>
      <c r="G441" s="16">
        <v>44.7</v>
      </c>
    </row>
    <row r="442" spans="1:7" hidden="1" x14ac:dyDescent="0.25">
      <c r="A442" s="9">
        <v>44572</v>
      </c>
      <c r="B442" t="s">
        <v>27</v>
      </c>
      <c r="C442" t="s">
        <v>164</v>
      </c>
      <c r="D442" t="str">
        <f>HYPERLINK("PDF Output/21796/Jan 2022/4719 AAX083.pdf", "4719 AAX083")</f>
        <v>4719 AAX083</v>
      </c>
      <c r="E442" t="s">
        <v>10</v>
      </c>
      <c r="F442" t="s">
        <v>95</v>
      </c>
      <c r="G442" s="16">
        <v>115.6</v>
      </c>
    </row>
    <row r="443" spans="1:7" hidden="1" x14ac:dyDescent="0.25">
      <c r="A443" s="9">
        <v>44572</v>
      </c>
      <c r="B443" t="s">
        <v>27</v>
      </c>
      <c r="C443" t="s">
        <v>164</v>
      </c>
      <c r="D443" t="str">
        <f>HYPERLINK("PDF Output/21796/Jan 2022/2480 ADT214.pdf", "2480 ADT214")</f>
        <v>2480 ADT214</v>
      </c>
      <c r="E443" t="s">
        <v>10</v>
      </c>
      <c r="F443" t="s">
        <v>95</v>
      </c>
      <c r="G443" s="16">
        <v>44.87</v>
      </c>
    </row>
    <row r="444" spans="1:7" hidden="1" x14ac:dyDescent="0.25">
      <c r="A444" s="9">
        <v>44578</v>
      </c>
      <c r="B444" t="s">
        <v>27</v>
      </c>
      <c r="C444" t="s">
        <v>620</v>
      </c>
      <c r="D444" t="str">
        <f>HYPERLINK("PDF Output/21796/Jan 2022/104025.pdf", "104025")</f>
        <v>104025</v>
      </c>
      <c r="E444" t="s">
        <v>10</v>
      </c>
      <c r="F444" t="s">
        <v>621</v>
      </c>
      <c r="G444" s="16">
        <v>56.5</v>
      </c>
    </row>
    <row r="445" spans="1:7" hidden="1" x14ac:dyDescent="0.25">
      <c r="A445" s="9">
        <v>44573</v>
      </c>
      <c r="B445" t="s">
        <v>27</v>
      </c>
      <c r="C445" t="s">
        <v>622</v>
      </c>
      <c r="D445" t="str">
        <f>HYPERLINK("PDF Output/21796/Jan 2022/1984997206.pdf", "1984997206")</f>
        <v>1984997206</v>
      </c>
      <c r="E445" t="s">
        <v>10</v>
      </c>
      <c r="F445" t="s">
        <v>623</v>
      </c>
      <c r="G445" s="16">
        <v>17.600000000000001</v>
      </c>
    </row>
    <row r="446" spans="1:7" hidden="1" x14ac:dyDescent="0.25">
      <c r="A446" s="9">
        <v>44573</v>
      </c>
      <c r="B446" t="s">
        <v>27</v>
      </c>
      <c r="C446" t="s">
        <v>624</v>
      </c>
      <c r="D446" t="str">
        <f>HYPERLINK("PDF Output/21796/Jan 2022/1984997204.pdf", "1984997204")</f>
        <v>1984997204</v>
      </c>
      <c r="E446" t="s">
        <v>10</v>
      </c>
      <c r="F446" t="s">
        <v>625</v>
      </c>
      <c r="G446" s="16">
        <v>50</v>
      </c>
    </row>
    <row r="447" spans="1:7" hidden="1" x14ac:dyDescent="0.25">
      <c r="A447" s="4">
        <v>44568</v>
      </c>
      <c r="B447" s="4" t="s">
        <v>8</v>
      </c>
      <c r="C447" s="4" t="s">
        <v>164</v>
      </c>
      <c r="D447" s="4" t="str">
        <f>HYPERLINK("PDF Output/21785/Jan 2022/9169 APN389.pdf", "9169 APN389")</f>
        <v>9169 APN389</v>
      </c>
      <c r="E447" s="4" t="s">
        <v>10</v>
      </c>
      <c r="F447" s="4" t="s">
        <v>99</v>
      </c>
      <c r="G447" s="4">
        <v>73.66</v>
      </c>
    </row>
    <row r="448" spans="1:7" x14ac:dyDescent="0.25">
      <c r="A448" s="9">
        <v>44575</v>
      </c>
      <c r="B448" t="s">
        <v>58</v>
      </c>
      <c r="C448" t="s">
        <v>9</v>
      </c>
      <c r="D448" t="str">
        <f>HYPERLINK("PDF Output/21787/Jan 2022/76361.pdf", "76361")</f>
        <v>76361</v>
      </c>
      <c r="E448" t="s">
        <v>10</v>
      </c>
      <c r="F448" t="s">
        <v>626</v>
      </c>
      <c r="G448" s="16">
        <v>129</v>
      </c>
    </row>
    <row r="449" spans="1:7" x14ac:dyDescent="0.25">
      <c r="A449" s="9">
        <v>44568</v>
      </c>
      <c r="B449" t="s">
        <v>58</v>
      </c>
      <c r="C449" t="s">
        <v>68</v>
      </c>
      <c r="D449" t="str">
        <f>HYPERLINK("PDF Output/21787/Jan 2022/A10075.pdf", "A10075")</f>
        <v>A10075</v>
      </c>
      <c r="E449" t="s">
        <v>10</v>
      </c>
      <c r="F449" t="s">
        <v>627</v>
      </c>
      <c r="G449" s="16">
        <v>486</v>
      </c>
    </row>
    <row r="450" spans="1:7" ht="30" hidden="1" customHeight="1" x14ac:dyDescent="0.25">
      <c r="A450" s="9">
        <v>44571</v>
      </c>
      <c r="B450" t="s">
        <v>102</v>
      </c>
      <c r="C450" s="12" t="s">
        <v>628</v>
      </c>
      <c r="D450" t="str">
        <f>HYPERLINK("PDF Output/21786/Jan 2022/16123853.pdf", "16123853")</f>
        <v>16123853</v>
      </c>
      <c r="E450" t="s">
        <v>10</v>
      </c>
      <c r="F450" t="s">
        <v>629</v>
      </c>
      <c r="G450" s="16">
        <v>142.57</v>
      </c>
    </row>
    <row r="451" spans="1:7" hidden="1" x14ac:dyDescent="0.25">
      <c r="A451" s="9">
        <v>44573</v>
      </c>
      <c r="B451" t="s">
        <v>102</v>
      </c>
      <c r="C451" t="s">
        <v>609</v>
      </c>
      <c r="D451" t="str">
        <f>HYPERLINK("PDF Output/21786/Jan 2022/3025 AWE940.pdf", "3025 AWE940")</f>
        <v>3025 AWE940</v>
      </c>
      <c r="E451" t="s">
        <v>10</v>
      </c>
      <c r="F451" t="s">
        <v>95</v>
      </c>
      <c r="G451" s="16">
        <v>1637</v>
      </c>
    </row>
    <row r="452" spans="1:7" hidden="1" x14ac:dyDescent="0.25">
      <c r="A452" s="9">
        <v>44572</v>
      </c>
      <c r="B452" t="s">
        <v>102</v>
      </c>
      <c r="C452" t="s">
        <v>515</v>
      </c>
      <c r="D452" t="str">
        <f>HYPERLINK("PDF Output/21786/Jan 2022/9162 AQE781.pdf", "9162 AQE781")</f>
        <v>9162 AQE781</v>
      </c>
      <c r="E452" t="s">
        <v>10</v>
      </c>
      <c r="F452" t="s">
        <v>99</v>
      </c>
      <c r="G452" s="16">
        <v>402.48</v>
      </c>
    </row>
    <row r="453" spans="1:7" hidden="1" x14ac:dyDescent="0.25">
      <c r="A453" s="9">
        <v>44572</v>
      </c>
      <c r="B453" t="s">
        <v>102</v>
      </c>
      <c r="C453" t="s">
        <v>609</v>
      </c>
      <c r="D453" t="str">
        <f>HYPERLINK("PDF Output/21786/Jan 2022/9162 AQE773.pdf", "9162 AQE773")</f>
        <v>9162 AQE773</v>
      </c>
      <c r="E453" t="s">
        <v>10</v>
      </c>
      <c r="F453" t="s">
        <v>99</v>
      </c>
      <c r="G453" s="16">
        <v>102.71</v>
      </c>
    </row>
    <row r="454" spans="1:7" x14ac:dyDescent="0.25">
      <c r="A454" s="9">
        <v>44575</v>
      </c>
      <c r="B454" t="s">
        <v>58</v>
      </c>
      <c r="C454" t="s">
        <v>9</v>
      </c>
      <c r="D454" t="str">
        <f>HYPERLINK("PDF Output/21787/Jan 2022/76361.pdf", "76361")</f>
        <v>76361</v>
      </c>
      <c r="E454" t="s">
        <v>10</v>
      </c>
      <c r="F454" t="s">
        <v>626</v>
      </c>
      <c r="G454" s="16">
        <v>129</v>
      </c>
    </row>
    <row r="455" spans="1:7" x14ac:dyDescent="0.25">
      <c r="A455" s="9">
        <v>44577</v>
      </c>
      <c r="B455" t="s">
        <v>58</v>
      </c>
      <c r="C455" t="s">
        <v>114</v>
      </c>
      <c r="D455" t="str">
        <f>HYPERLINK("PDF Output/21787/Jan 2022/21787 40938.pdf", "21787/40938")</f>
        <v>21787/40938</v>
      </c>
      <c r="E455" t="s">
        <v>10</v>
      </c>
      <c r="F455" t="s">
        <v>630</v>
      </c>
      <c r="G455" s="16">
        <v>120.74</v>
      </c>
    </row>
    <row r="456" spans="1:7" hidden="1" x14ac:dyDescent="0.25">
      <c r="A456" s="9">
        <v>44567</v>
      </c>
      <c r="B456" t="s">
        <v>102</v>
      </c>
      <c r="C456" t="s">
        <v>355</v>
      </c>
      <c r="D456" t="str">
        <f>HYPERLINK("PDF Output/21786/Jan 2022/3320 S19592.pdf", "3320 S19592")</f>
        <v>3320 S19592</v>
      </c>
      <c r="E456" t="s">
        <v>10</v>
      </c>
      <c r="F456" t="s">
        <v>631</v>
      </c>
      <c r="G456" s="16">
        <v>3</v>
      </c>
    </row>
    <row r="457" spans="1:7" hidden="1" x14ac:dyDescent="0.25">
      <c r="A457" s="4">
        <v>44567</v>
      </c>
      <c r="B457" s="4" t="s">
        <v>93</v>
      </c>
      <c r="C457" s="4" t="s">
        <v>356</v>
      </c>
      <c r="D457" s="4" t="str">
        <f>HYPERLINK("PDF Output/21781/Jan 2022/41257 21781.pdf", "41257/21781")</f>
        <v>41257/21781</v>
      </c>
      <c r="E457" s="4" t="s">
        <v>10</v>
      </c>
      <c r="F457" s="4" t="s">
        <v>632</v>
      </c>
      <c r="G457" s="4">
        <v>23.59</v>
      </c>
    </row>
    <row r="458" spans="1:7" hidden="1" x14ac:dyDescent="0.25">
      <c r="A458" s="9">
        <v>44568</v>
      </c>
      <c r="B458" t="s">
        <v>102</v>
      </c>
      <c r="C458" t="s">
        <v>515</v>
      </c>
      <c r="D458" t="str">
        <f>HYPERLINK("PDF Output/21786/Jan 2022/41784 21786.pdf", "41784/21786")</f>
        <v>41784/21786</v>
      </c>
      <c r="E458" t="s">
        <v>10</v>
      </c>
      <c r="F458" t="s">
        <v>99</v>
      </c>
      <c r="G458" s="16">
        <v>133.6</v>
      </c>
    </row>
    <row r="459" spans="1:7" hidden="1" x14ac:dyDescent="0.25">
      <c r="A459" s="9">
        <v>44567</v>
      </c>
      <c r="B459" t="s">
        <v>102</v>
      </c>
      <c r="C459" t="s">
        <v>515</v>
      </c>
      <c r="D459" t="str">
        <f>HYPERLINK("PDF Output/21786/Jan 2022/41784 21786.pdf", "41784/21786")</f>
        <v>41784/21786</v>
      </c>
      <c r="E459" t="s">
        <v>10</v>
      </c>
      <c r="F459" t="s">
        <v>633</v>
      </c>
      <c r="G459" s="16">
        <v>334.39</v>
      </c>
    </row>
    <row r="460" spans="1:7" hidden="1" x14ac:dyDescent="0.25">
      <c r="A460" s="4">
        <v>44568</v>
      </c>
      <c r="B460" s="4" t="s">
        <v>93</v>
      </c>
      <c r="C460" s="4" t="s">
        <v>609</v>
      </c>
      <c r="D460" s="4" t="str">
        <f>HYPERLINK("PDF Output/21781/Jan 2022/AWE362.pdf", "AWE362")</f>
        <v>AWE362</v>
      </c>
      <c r="E460" s="4" t="s">
        <v>10</v>
      </c>
      <c r="F460" s="4" t="s">
        <v>95</v>
      </c>
      <c r="G460" s="4">
        <v>186.4</v>
      </c>
    </row>
    <row r="461" spans="1:7" x14ac:dyDescent="0.25">
      <c r="A461" s="9">
        <v>44573</v>
      </c>
      <c r="B461" t="s">
        <v>58</v>
      </c>
      <c r="C461" t="s">
        <v>634</v>
      </c>
      <c r="D461" t="str">
        <f>HYPERLINK("PDF Output/21787/Jan 2022/359369.pdf", "359369")</f>
        <v>359369</v>
      </c>
      <c r="E461" t="s">
        <v>10</v>
      </c>
      <c r="F461" t="s">
        <v>635</v>
      </c>
      <c r="G461" s="16">
        <v>1014.45</v>
      </c>
    </row>
    <row r="462" spans="1:7" hidden="1" x14ac:dyDescent="0.25">
      <c r="A462" s="9">
        <v>44578</v>
      </c>
      <c r="B462" t="s">
        <v>27</v>
      </c>
      <c r="C462" t="s">
        <v>636</v>
      </c>
      <c r="D462" t="str">
        <f>HYPERLINK("PDF Output/21796/Jan 2022/0000348302.pdf", "0000348302")</f>
        <v>0000348302</v>
      </c>
      <c r="E462" t="s">
        <v>10</v>
      </c>
      <c r="F462" t="s">
        <v>637</v>
      </c>
      <c r="G462" s="16">
        <v>17.02</v>
      </c>
    </row>
    <row r="463" spans="1:7" hidden="1" x14ac:dyDescent="0.25">
      <c r="A463" s="9">
        <v>44576</v>
      </c>
      <c r="B463" t="s">
        <v>27</v>
      </c>
      <c r="C463" t="s">
        <v>638</v>
      </c>
      <c r="D463" t="str">
        <f>HYPERLINK("PDF Output/21796/Jan 2022/169150.pdf", "169150")</f>
        <v>169150</v>
      </c>
      <c r="E463" t="s">
        <v>18</v>
      </c>
      <c r="F463" t="s">
        <v>639</v>
      </c>
      <c r="G463" s="16">
        <v>109.73</v>
      </c>
    </row>
    <row r="464" spans="1:7" hidden="1" x14ac:dyDescent="0.25">
      <c r="A464" s="4">
        <v>44578</v>
      </c>
      <c r="B464" s="4" t="s">
        <v>8</v>
      </c>
      <c r="C464" s="4" t="s">
        <v>640</v>
      </c>
      <c r="D464" s="4" t="str">
        <f>HYPERLINK("PDF Output/21785/Jan 2022/797514.pdf", "797514")</f>
        <v>797514</v>
      </c>
      <c r="E464" s="4" t="s">
        <v>10</v>
      </c>
      <c r="F464" s="4" t="s">
        <v>641</v>
      </c>
      <c r="G464" s="4">
        <v>595</v>
      </c>
    </row>
    <row r="465" spans="1:7" x14ac:dyDescent="0.25">
      <c r="A465" s="9">
        <v>44578</v>
      </c>
      <c r="B465" t="s">
        <v>58</v>
      </c>
      <c r="C465" t="s">
        <v>642</v>
      </c>
      <c r="D465" t="str">
        <f>HYPERLINK("PDF Output/21787/Jan 2022/WEY2784749.pdf", "WEY2784749")</f>
        <v>WEY2784749</v>
      </c>
      <c r="E465" t="s">
        <v>10</v>
      </c>
      <c r="F465" t="s">
        <v>643</v>
      </c>
      <c r="G465" s="16">
        <v>105</v>
      </c>
    </row>
    <row r="466" spans="1:7" hidden="1" x14ac:dyDescent="0.25">
      <c r="A466" s="9">
        <v>44578</v>
      </c>
      <c r="B466" t="s">
        <v>102</v>
      </c>
      <c r="C466" t="s">
        <v>644</v>
      </c>
      <c r="D466" t="str">
        <f>HYPERLINK("PDF Output/21786/Jan 2022/102490.pdf", "102490")</f>
        <v>102490</v>
      </c>
      <c r="E466" t="s">
        <v>10</v>
      </c>
      <c r="F466" t="s">
        <v>645</v>
      </c>
      <c r="G466" s="16">
        <v>245</v>
      </c>
    </row>
    <row r="467" spans="1:7" x14ac:dyDescent="0.25">
      <c r="A467" s="9">
        <v>44578</v>
      </c>
      <c r="B467" t="s">
        <v>58</v>
      </c>
      <c r="C467" t="s">
        <v>114</v>
      </c>
      <c r="D467" t="str">
        <f>HYPERLINK("PDF Output/21787/Jan 2022/25 11956020.pdf", "25/11956020")</f>
        <v>25/11956020</v>
      </c>
      <c r="E467" t="s">
        <v>10</v>
      </c>
      <c r="F467" t="s">
        <v>646</v>
      </c>
      <c r="G467" s="16">
        <v>18.7</v>
      </c>
    </row>
    <row r="468" spans="1:7" x14ac:dyDescent="0.25">
      <c r="A468" s="9">
        <v>44579</v>
      </c>
      <c r="B468" t="s">
        <v>58</v>
      </c>
      <c r="C468" t="s">
        <v>592</v>
      </c>
      <c r="D468" t="str">
        <f>HYPERLINK("PDF Output/21787/Jan 2022/340258.pdf", "340258")</f>
        <v>340258</v>
      </c>
      <c r="E468" t="s">
        <v>10</v>
      </c>
      <c r="F468" t="s">
        <v>647</v>
      </c>
      <c r="G468" s="16">
        <v>0</v>
      </c>
    </row>
    <row r="469" spans="1:7" x14ac:dyDescent="0.25">
      <c r="A469" s="9">
        <v>44579</v>
      </c>
      <c r="B469" t="s">
        <v>58</v>
      </c>
      <c r="C469" t="s">
        <v>592</v>
      </c>
      <c r="D469" t="str">
        <f>HYPERLINK("PDF Output/21787/Jan 2022/340258.pdf", "340258")</f>
        <v>340258</v>
      </c>
      <c r="E469" t="s">
        <v>10</v>
      </c>
      <c r="F469" t="s">
        <v>648</v>
      </c>
      <c r="G469" s="16">
        <v>8661.75</v>
      </c>
    </row>
    <row r="470" spans="1:7" x14ac:dyDescent="0.25">
      <c r="A470" s="9">
        <v>44578</v>
      </c>
      <c r="B470" t="s">
        <v>58</v>
      </c>
      <c r="C470" t="s">
        <v>594</v>
      </c>
      <c r="D470" t="str">
        <f>HYPERLINK("PDF Output/21787/Jan 2022/102436.pdf", "102436")</f>
        <v>102436</v>
      </c>
      <c r="E470" t="s">
        <v>10</v>
      </c>
      <c r="F470" t="s">
        <v>649</v>
      </c>
      <c r="G470" s="16">
        <v>10964.1</v>
      </c>
    </row>
    <row r="471" spans="1:7" x14ac:dyDescent="0.25">
      <c r="A471" s="9">
        <v>44578</v>
      </c>
      <c r="B471" t="s">
        <v>58</v>
      </c>
      <c r="C471" t="s">
        <v>404</v>
      </c>
      <c r="D471" t="str">
        <f>HYPERLINK("PDF Output/21787/Jan 2022/A10207.pdf", "A10207")</f>
        <v>A10207</v>
      </c>
      <c r="E471" t="s">
        <v>10</v>
      </c>
      <c r="F471" t="s">
        <v>650</v>
      </c>
      <c r="G471" s="16">
        <v>310</v>
      </c>
    </row>
    <row r="472" spans="1:7" hidden="1" x14ac:dyDescent="0.25">
      <c r="A472" s="9">
        <v>44578</v>
      </c>
      <c r="B472" t="s">
        <v>102</v>
      </c>
      <c r="C472" t="s">
        <v>640</v>
      </c>
      <c r="D472" t="str">
        <f>HYPERLINK("PDF Output/21786/Jan 2022/797513.pdf", "797513")</f>
        <v>797513</v>
      </c>
      <c r="E472" t="s">
        <v>10</v>
      </c>
      <c r="F472" t="s">
        <v>651</v>
      </c>
      <c r="G472" s="16">
        <v>1085</v>
      </c>
    </row>
    <row r="473" spans="1:7" x14ac:dyDescent="0.25">
      <c r="A473" s="9">
        <v>44579</v>
      </c>
      <c r="B473" t="s">
        <v>58</v>
      </c>
      <c r="C473" t="s">
        <v>592</v>
      </c>
      <c r="D473" t="str">
        <f>HYPERLINK("PDF Output/21787/Jan 2022/340259.pdf", "340259")</f>
        <v>340259</v>
      </c>
      <c r="E473" t="s">
        <v>10</v>
      </c>
      <c r="F473" t="s">
        <v>652</v>
      </c>
      <c r="G473" s="16">
        <v>274</v>
      </c>
    </row>
    <row r="474" spans="1:7" hidden="1" x14ac:dyDescent="0.25">
      <c r="A474" s="9">
        <v>44578</v>
      </c>
      <c r="B474" t="s">
        <v>102</v>
      </c>
      <c r="C474" t="s">
        <v>653</v>
      </c>
      <c r="D474" t="str">
        <f>HYPERLINK("PDF Output/21786/Jan 2022/INNMC10786.pdf", "INNMC10786")</f>
        <v>INNMC10786</v>
      </c>
      <c r="E474" t="s">
        <v>18</v>
      </c>
      <c r="F474" t="s">
        <v>654</v>
      </c>
      <c r="G474" s="16">
        <v>134.85</v>
      </c>
    </row>
    <row r="475" spans="1:7" x14ac:dyDescent="0.25">
      <c r="A475" s="9">
        <v>44578</v>
      </c>
      <c r="B475" t="s">
        <v>58</v>
      </c>
      <c r="C475" t="s">
        <v>114</v>
      </c>
      <c r="D475" t="str">
        <f>HYPERLINK("PDF Output/21787/Jan 2022/25 11956022.pdf", "25/11956022")</f>
        <v>25/11956022</v>
      </c>
      <c r="E475" t="s">
        <v>10</v>
      </c>
      <c r="F475" t="s">
        <v>655</v>
      </c>
      <c r="G475" s="16">
        <v>260.62</v>
      </c>
    </row>
    <row r="476" spans="1:7" x14ac:dyDescent="0.25">
      <c r="A476" s="9">
        <v>44578</v>
      </c>
      <c r="B476" t="s">
        <v>58</v>
      </c>
      <c r="C476" t="s">
        <v>114</v>
      </c>
      <c r="D476" t="str">
        <f>HYPERLINK("PDF Output/21787/Jan 2022/25 11956023.pdf", "25/11956023")</f>
        <v>25/11956023</v>
      </c>
      <c r="E476" t="s">
        <v>10</v>
      </c>
      <c r="F476" t="s">
        <v>656</v>
      </c>
      <c r="G476" s="16">
        <v>92.97</v>
      </c>
    </row>
    <row r="477" spans="1:7" x14ac:dyDescent="0.25">
      <c r="A477" s="9">
        <v>44578</v>
      </c>
      <c r="B477" t="s">
        <v>58</v>
      </c>
      <c r="C477" t="s">
        <v>114</v>
      </c>
      <c r="D477" t="str">
        <f>HYPERLINK("PDF Output/21787/Jan 2022/25 11956021.pdf", "25/11956021")</f>
        <v>25/11956021</v>
      </c>
      <c r="E477" t="s">
        <v>10</v>
      </c>
      <c r="F477" t="s">
        <v>657</v>
      </c>
      <c r="G477" s="16">
        <v>78.06</v>
      </c>
    </row>
    <row r="478" spans="1:7" hidden="1" x14ac:dyDescent="0.25">
      <c r="A478" s="4">
        <v>44576</v>
      </c>
      <c r="B478" s="4" t="s">
        <v>8</v>
      </c>
      <c r="C478" s="4" t="s">
        <v>34</v>
      </c>
      <c r="D478" s="4" t="str">
        <f>HYPERLINK("PDF Output/21785/Jan 2022/1985004251.pdf", "1985004251")</f>
        <v>1985004251</v>
      </c>
      <c r="E478" s="4" t="s">
        <v>10</v>
      </c>
      <c r="F478" s="4" t="s">
        <v>658</v>
      </c>
      <c r="G478" s="4">
        <v>2195.6</v>
      </c>
    </row>
    <row r="479" spans="1:7" hidden="1" x14ac:dyDescent="0.25">
      <c r="A479" s="4">
        <v>44576</v>
      </c>
      <c r="B479" s="4" t="s">
        <v>8</v>
      </c>
      <c r="C479" s="4" t="s">
        <v>34</v>
      </c>
      <c r="D479" s="4" t="str">
        <f>HYPERLINK("PDF Output/21785/Jan 2022/1985004249.pdf", "1985004249")</f>
        <v>1985004249</v>
      </c>
      <c r="E479" s="4" t="s">
        <v>10</v>
      </c>
      <c r="F479" s="4" t="s">
        <v>659</v>
      </c>
      <c r="G479" s="4">
        <v>88.5</v>
      </c>
    </row>
    <row r="480" spans="1:7" hidden="1" x14ac:dyDescent="0.25">
      <c r="A480" s="9">
        <v>44577</v>
      </c>
      <c r="B480" t="s">
        <v>27</v>
      </c>
      <c r="C480" t="s">
        <v>51</v>
      </c>
      <c r="D480" t="str">
        <f>HYPERLINK("PDF Output/21796/Jan 2022/480395.pdf", "480395")</f>
        <v>480395</v>
      </c>
      <c r="E480" t="s">
        <v>10</v>
      </c>
      <c r="F480" t="s">
        <v>660</v>
      </c>
      <c r="G480" s="16">
        <v>601.30999999999995</v>
      </c>
    </row>
    <row r="481" spans="1:7" hidden="1" x14ac:dyDescent="0.25">
      <c r="A481" s="9">
        <v>44577</v>
      </c>
      <c r="B481" t="s">
        <v>27</v>
      </c>
      <c r="C481" t="s">
        <v>51</v>
      </c>
      <c r="D481" t="str">
        <f>HYPERLINK("PDF Output/21796/Jan 2022/480396.pdf", "480396")</f>
        <v>480396</v>
      </c>
      <c r="E481" t="s">
        <v>10</v>
      </c>
      <c r="F481" t="s">
        <v>661</v>
      </c>
      <c r="G481" s="16">
        <v>412.66</v>
      </c>
    </row>
    <row r="482" spans="1:7" x14ac:dyDescent="0.25">
      <c r="A482" s="9">
        <v>44579</v>
      </c>
      <c r="B482" t="s">
        <v>58</v>
      </c>
      <c r="C482" t="s">
        <v>662</v>
      </c>
      <c r="D482" t="str">
        <f>HYPERLINK("PDF Output/21787/Jan 2022/A10265.pdf", "A10265")</f>
        <v>A10265</v>
      </c>
      <c r="E482" t="s">
        <v>10</v>
      </c>
      <c r="F482" t="s">
        <v>663</v>
      </c>
      <c r="G482" s="16">
        <v>103.5</v>
      </c>
    </row>
    <row r="483" spans="1:7" x14ac:dyDescent="0.25">
      <c r="A483" s="9">
        <v>44579</v>
      </c>
      <c r="B483" t="s">
        <v>58</v>
      </c>
      <c r="C483" t="s">
        <v>662</v>
      </c>
      <c r="D483" t="str">
        <f>HYPERLINK("PDF Output/21787/Jan 2022/A10262.pdf", "A10262")</f>
        <v>A10262</v>
      </c>
      <c r="E483" t="s">
        <v>10</v>
      </c>
      <c r="F483" t="s">
        <v>664</v>
      </c>
      <c r="G483" s="16">
        <v>123</v>
      </c>
    </row>
    <row r="484" spans="1:7" x14ac:dyDescent="0.25">
      <c r="A484" s="9">
        <v>44579</v>
      </c>
      <c r="B484" t="s">
        <v>58</v>
      </c>
      <c r="C484" t="s">
        <v>665</v>
      </c>
      <c r="D484" t="str">
        <f>HYPERLINK("PDF Output/21787/Jan 2022/25 11956677.pdf", "25/11956677")</f>
        <v>25/11956677</v>
      </c>
      <c r="E484" t="s">
        <v>10</v>
      </c>
      <c r="F484" t="s">
        <v>666</v>
      </c>
      <c r="G484" s="16">
        <v>31.21</v>
      </c>
    </row>
    <row r="485" spans="1:7" x14ac:dyDescent="0.25">
      <c r="A485" s="9">
        <v>44579</v>
      </c>
      <c r="B485" t="s">
        <v>58</v>
      </c>
      <c r="C485" t="s">
        <v>667</v>
      </c>
      <c r="D485" t="str">
        <f>HYPERLINK("PDF Output/21787/Jan 2022/00098038.pdf", "00098038")</f>
        <v>00098038</v>
      </c>
      <c r="E485" t="s">
        <v>10</v>
      </c>
      <c r="F485" t="s">
        <v>668</v>
      </c>
      <c r="G485" s="16">
        <v>5023</v>
      </c>
    </row>
    <row r="486" spans="1:7" hidden="1" x14ac:dyDescent="0.25">
      <c r="A486" s="9">
        <v>44573</v>
      </c>
      <c r="B486" t="s">
        <v>63</v>
      </c>
      <c r="C486" t="s">
        <v>669</v>
      </c>
      <c r="D486" t="str">
        <f>HYPERLINK("PDF Output/20770/Jan 2022/4953129.pdf", "4953129")</f>
        <v>4953129</v>
      </c>
      <c r="E486" t="s">
        <v>10</v>
      </c>
      <c r="F486" t="s">
        <v>670</v>
      </c>
      <c r="G486" s="16">
        <v>21</v>
      </c>
    </row>
    <row r="487" spans="1:7" hidden="1" x14ac:dyDescent="0.25">
      <c r="A487" s="9">
        <v>44577</v>
      </c>
      <c r="B487" t="s">
        <v>27</v>
      </c>
      <c r="C487" t="s">
        <v>51</v>
      </c>
      <c r="D487" t="str">
        <f>HYPERLINK("PDF Output/21796/Jan 2022/480867.pdf", "480867")</f>
        <v>480867</v>
      </c>
      <c r="E487" t="s">
        <v>10</v>
      </c>
      <c r="F487" t="s">
        <v>671</v>
      </c>
      <c r="G487" s="16">
        <v>280</v>
      </c>
    </row>
    <row r="488" spans="1:7" hidden="1" x14ac:dyDescent="0.25">
      <c r="A488" s="4">
        <v>44575</v>
      </c>
      <c r="B488" s="4" t="s">
        <v>8</v>
      </c>
      <c r="C488" s="4" t="s">
        <v>672</v>
      </c>
      <c r="D488" s="4" t="str">
        <f>HYPERLINK("PDF Output/21785/Jan 2022/6745506.pdf", "6745506")</f>
        <v>6745506</v>
      </c>
      <c r="E488" s="4" t="s">
        <v>10</v>
      </c>
      <c r="F488" s="4" t="s">
        <v>216</v>
      </c>
      <c r="G488" s="4">
        <v>1401.75</v>
      </c>
    </row>
    <row r="489" spans="1:7" hidden="1" x14ac:dyDescent="0.25">
      <c r="A489" s="4">
        <v>44575</v>
      </c>
      <c r="B489" s="4" t="s">
        <v>8</v>
      </c>
      <c r="C489" s="4" t="s">
        <v>672</v>
      </c>
      <c r="D489" s="4" t="str">
        <f>HYPERLINK("PDF Output/21785/Jan 2022/6745517.pdf", "6745517")</f>
        <v>6745517</v>
      </c>
      <c r="E489" s="4" t="s">
        <v>10</v>
      </c>
      <c r="F489" s="4" t="s">
        <v>216</v>
      </c>
      <c r="G489" s="4">
        <v>586.39</v>
      </c>
    </row>
    <row r="490" spans="1:7" x14ac:dyDescent="0.25">
      <c r="A490" s="9">
        <v>44580</v>
      </c>
      <c r="B490" t="s">
        <v>58</v>
      </c>
      <c r="C490" t="s">
        <v>665</v>
      </c>
      <c r="D490" t="str">
        <f>HYPERLINK("PDF Output/21787/Jan 2022/25 11957333.pdf", "25/11957333")</f>
        <v>25/11957333</v>
      </c>
      <c r="E490" t="s">
        <v>10</v>
      </c>
      <c r="F490" t="s">
        <v>673</v>
      </c>
      <c r="G490" s="16">
        <v>98.94</v>
      </c>
    </row>
    <row r="491" spans="1:7" x14ac:dyDescent="0.25">
      <c r="A491" s="9">
        <v>44579</v>
      </c>
      <c r="B491" t="s">
        <v>58</v>
      </c>
      <c r="C491" t="s">
        <v>245</v>
      </c>
      <c r="D491" t="str">
        <f>HYPERLINK("PDF Output/21787/Jan 2022/359550.pdf", "359550")</f>
        <v>359550</v>
      </c>
      <c r="E491" t="s">
        <v>10</v>
      </c>
      <c r="F491" t="s">
        <v>674</v>
      </c>
      <c r="G491" s="16">
        <v>179</v>
      </c>
    </row>
    <row r="492" spans="1:7" x14ac:dyDescent="0.25">
      <c r="A492" s="9">
        <v>44575</v>
      </c>
      <c r="B492" t="s">
        <v>58</v>
      </c>
      <c r="C492" t="s">
        <v>245</v>
      </c>
      <c r="D492" t="str">
        <f>HYPERLINK("PDF Output/21787/Jan 2022/359483.pdf", "359483")</f>
        <v>359483</v>
      </c>
      <c r="E492" t="s">
        <v>10</v>
      </c>
      <c r="F492" t="s">
        <v>675</v>
      </c>
      <c r="G492" s="16">
        <v>497.94</v>
      </c>
    </row>
    <row r="493" spans="1:7" x14ac:dyDescent="0.25">
      <c r="A493" s="9">
        <v>44578</v>
      </c>
      <c r="B493" t="s">
        <v>58</v>
      </c>
      <c r="C493" t="s">
        <v>245</v>
      </c>
      <c r="D493" t="str">
        <f>HYPERLINK("PDF Output/21787/Jan 2022/359509.pdf", "359509")</f>
        <v>359509</v>
      </c>
      <c r="E493" t="s">
        <v>10</v>
      </c>
      <c r="F493" t="s">
        <v>676</v>
      </c>
      <c r="G493" s="16">
        <v>243.81</v>
      </c>
    </row>
    <row r="494" spans="1:7" x14ac:dyDescent="0.25">
      <c r="A494" s="9">
        <v>44567</v>
      </c>
      <c r="B494" t="s">
        <v>58</v>
      </c>
      <c r="C494" t="s">
        <v>677</v>
      </c>
      <c r="D494" t="str">
        <f>HYPERLINK("PDF Output/21787/Jan 2022/2203 A1J690.pdf", "2203 A1J690")</f>
        <v>2203 A1J690</v>
      </c>
      <c r="E494" t="s">
        <v>10</v>
      </c>
      <c r="F494" t="s">
        <v>95</v>
      </c>
      <c r="G494" s="16">
        <v>1583</v>
      </c>
    </row>
    <row r="495" spans="1:7" hidden="1" x14ac:dyDescent="0.25">
      <c r="A495" s="9">
        <v>44572</v>
      </c>
      <c r="B495" t="s">
        <v>678</v>
      </c>
      <c r="C495" t="s">
        <v>677</v>
      </c>
      <c r="D495" t="str">
        <f>HYPERLINK("PDF Output/20775/Jan 2022/1203 AIJ677.pdf", "1203 AIJ677")</f>
        <v>1203 AIJ677</v>
      </c>
      <c r="E495" t="s">
        <v>10</v>
      </c>
      <c r="F495" t="s">
        <v>95</v>
      </c>
      <c r="G495" s="16">
        <v>144.13999999999999</v>
      </c>
    </row>
    <row r="496" spans="1:7" x14ac:dyDescent="0.25">
      <c r="A496" s="9">
        <v>44575</v>
      </c>
      <c r="B496" t="s">
        <v>58</v>
      </c>
      <c r="C496" t="s">
        <v>672</v>
      </c>
      <c r="D496" t="str">
        <f>HYPERLINK("PDF Output/21787/Jan 2022/6712174.pdf", "6712174")</f>
        <v>6712174</v>
      </c>
      <c r="E496" t="s">
        <v>10</v>
      </c>
      <c r="F496" t="s">
        <v>679</v>
      </c>
      <c r="G496" s="16">
        <v>1834.75</v>
      </c>
    </row>
    <row r="497" spans="1:7" hidden="1" x14ac:dyDescent="0.25">
      <c r="A497" s="4">
        <v>44575</v>
      </c>
      <c r="B497" s="4" t="s">
        <v>8</v>
      </c>
      <c r="C497" s="4" t="s">
        <v>680</v>
      </c>
      <c r="D497" s="4" t="str">
        <f>HYPERLINK("PDF Output/21785/Jan 2022/SW8959.pdf", "SW8959")</f>
        <v>SW8959</v>
      </c>
      <c r="E497" s="4" t="s">
        <v>10</v>
      </c>
      <c r="F497" s="4" t="s">
        <v>617</v>
      </c>
      <c r="G497" s="4">
        <v>1725</v>
      </c>
    </row>
    <row r="498" spans="1:7" x14ac:dyDescent="0.25">
      <c r="A498" s="9">
        <v>44575</v>
      </c>
      <c r="B498" t="s">
        <v>58</v>
      </c>
      <c r="C498" t="s">
        <v>662</v>
      </c>
      <c r="D498" t="str">
        <f>HYPERLINK("PDF Output/21787/Jan 2022/A10199.pdf", "A10199")</f>
        <v>A10199</v>
      </c>
      <c r="E498" t="s">
        <v>10</v>
      </c>
      <c r="F498" t="s">
        <v>681</v>
      </c>
      <c r="G498" s="16">
        <v>486</v>
      </c>
    </row>
    <row r="499" spans="1:7" x14ac:dyDescent="0.25">
      <c r="A499" s="9">
        <v>44574</v>
      </c>
      <c r="B499" t="s">
        <v>58</v>
      </c>
      <c r="C499" t="s">
        <v>682</v>
      </c>
      <c r="D499" t="str">
        <f>HYPERLINK("PDF Output/21787/Jan 2022/0072 30049293.pdf", "0072/30049293")</f>
        <v>0072/30049293</v>
      </c>
      <c r="E499" t="s">
        <v>10</v>
      </c>
      <c r="F499" t="s">
        <v>683</v>
      </c>
      <c r="G499" s="16">
        <v>143.22</v>
      </c>
    </row>
    <row r="500" spans="1:7" x14ac:dyDescent="0.25">
      <c r="A500" s="9">
        <v>44582</v>
      </c>
      <c r="B500" t="s">
        <v>58</v>
      </c>
      <c r="C500" t="s">
        <v>592</v>
      </c>
      <c r="D500" t="str">
        <f>HYPERLINK("PDF Output/21787/Jan 2022/340387.pdf", "340387")</f>
        <v>340387</v>
      </c>
      <c r="E500" t="s">
        <v>18</v>
      </c>
      <c r="F500" t="s">
        <v>684</v>
      </c>
      <c r="G500" s="16">
        <v>6272</v>
      </c>
    </row>
    <row r="501" spans="1:7" x14ac:dyDescent="0.25">
      <c r="A501" s="9">
        <v>44581</v>
      </c>
      <c r="B501" t="s">
        <v>58</v>
      </c>
      <c r="C501" t="s">
        <v>665</v>
      </c>
      <c r="D501" t="str">
        <f>HYPERLINK("PDF Output/21787/Jan 2022/25 11958001.pdf", "25/11958001")</f>
        <v>25/11958001</v>
      </c>
      <c r="E501" t="s">
        <v>10</v>
      </c>
      <c r="F501" t="s">
        <v>685</v>
      </c>
      <c r="G501" s="16">
        <v>116.17</v>
      </c>
    </row>
    <row r="502" spans="1:7" x14ac:dyDescent="0.25">
      <c r="A502" s="17">
        <v>44575</v>
      </c>
      <c r="B502" t="s">
        <v>8</v>
      </c>
      <c r="C502" t="s">
        <v>680</v>
      </c>
      <c r="D502" t="str">
        <f>HYPERLINK("PDF Output/21785/Jan 2022/SW8959.pdf", "SW8959")</f>
        <v>SW8959</v>
      </c>
      <c r="E502" t="s">
        <v>10</v>
      </c>
      <c r="F502" t="s">
        <v>617</v>
      </c>
      <c r="G502">
        <v>1725</v>
      </c>
    </row>
    <row r="503" spans="1:7" x14ac:dyDescent="0.25">
      <c r="A503" s="17">
        <v>44582</v>
      </c>
      <c r="B503" t="s">
        <v>8</v>
      </c>
      <c r="C503" t="s">
        <v>433</v>
      </c>
      <c r="D503" t="str">
        <f>HYPERLINK("PDF Output/21785/Jan 2022/853046.pdf", "853046")</f>
        <v>853046</v>
      </c>
      <c r="E503" t="s">
        <v>18</v>
      </c>
      <c r="F503" t="s">
        <v>686</v>
      </c>
      <c r="G503">
        <v>120</v>
      </c>
    </row>
    <row r="504" spans="1:7" x14ac:dyDescent="0.25">
      <c r="A504" s="17">
        <v>44582</v>
      </c>
      <c r="B504" t="s">
        <v>8</v>
      </c>
      <c r="C504" t="s">
        <v>687</v>
      </c>
      <c r="D504" t="str">
        <f>HYPERLINK("PDF Output/21785/Jan 2022/853047.pdf", "853047")</f>
        <v>853047</v>
      </c>
      <c r="E504" t="s">
        <v>18</v>
      </c>
      <c r="F504" t="s">
        <v>688</v>
      </c>
      <c r="G504">
        <v>120</v>
      </c>
    </row>
    <row r="505" spans="1:7" x14ac:dyDescent="0.25">
      <c r="A505" s="17">
        <v>44835</v>
      </c>
      <c r="B505" t="s">
        <v>8</v>
      </c>
      <c r="C505" t="s">
        <v>689</v>
      </c>
      <c r="D505" t="str">
        <f>HYPERLINK("PDF Output/21785/Oct 2022/0703 00141849.pdf", "0703/00141849")</f>
        <v>0703/00141849</v>
      </c>
      <c r="E505" t="s">
        <v>10</v>
      </c>
      <c r="F505" t="s">
        <v>690</v>
      </c>
      <c r="G505">
        <v>135.76</v>
      </c>
    </row>
    <row r="506" spans="1:7" x14ac:dyDescent="0.25">
      <c r="A506" s="17">
        <v>44574</v>
      </c>
      <c r="B506" t="s">
        <v>27</v>
      </c>
      <c r="C506" t="s">
        <v>691</v>
      </c>
      <c r="D506" t="str">
        <f>HYPERLINK("PDF Output/21796/Jan 2022/137623.pdf", "137623")</f>
        <v>137623</v>
      </c>
      <c r="E506" t="s">
        <v>10</v>
      </c>
      <c r="F506" t="s">
        <v>692</v>
      </c>
      <c r="G506">
        <v>155.03</v>
      </c>
    </row>
    <row r="507" spans="1:7" x14ac:dyDescent="0.25">
      <c r="A507" s="17">
        <v>44581</v>
      </c>
      <c r="B507" t="s">
        <v>8</v>
      </c>
      <c r="C507" t="s">
        <v>524</v>
      </c>
      <c r="D507" t="str">
        <f>HYPERLINK("PDF Output/21785/Jan 2022/PLI352103.pdf", "PLI352103")</f>
        <v>PLI352103</v>
      </c>
      <c r="E507" t="s">
        <v>10</v>
      </c>
      <c r="F507" t="s">
        <v>525</v>
      </c>
      <c r="G507">
        <v>0</v>
      </c>
    </row>
    <row r="508" spans="1:7" x14ac:dyDescent="0.25">
      <c r="A508" s="17">
        <v>44582</v>
      </c>
      <c r="B508" t="s">
        <v>58</v>
      </c>
      <c r="C508" t="s">
        <v>693</v>
      </c>
      <c r="D508" t="str">
        <f>HYPERLINK("PDF Output/21787/Jan 2022/76522.pdf", "76522")</f>
        <v>76522</v>
      </c>
      <c r="E508" t="s">
        <v>10</v>
      </c>
      <c r="F508" t="s">
        <v>694</v>
      </c>
      <c r="G508">
        <v>120</v>
      </c>
    </row>
    <row r="509" spans="1:7" x14ac:dyDescent="0.25">
      <c r="A509" s="17">
        <v>44580</v>
      </c>
      <c r="B509" t="s">
        <v>58</v>
      </c>
      <c r="C509" t="s">
        <v>695</v>
      </c>
      <c r="D509" t="str">
        <f>HYPERLINK("PDF Output/21787/Jan 2022/4833 AFW404.pdf", "4833 AFW404")</f>
        <v>4833 AFW404</v>
      </c>
      <c r="E509" t="s">
        <v>18</v>
      </c>
      <c r="F509" t="s">
        <v>95</v>
      </c>
      <c r="G509">
        <v>1029.94</v>
      </c>
    </row>
    <row r="510" spans="1:7" x14ac:dyDescent="0.25">
      <c r="A510" s="17">
        <v>44572</v>
      </c>
      <c r="B510" t="s">
        <v>102</v>
      </c>
      <c r="C510" t="s">
        <v>691</v>
      </c>
      <c r="D510" t="str">
        <f>HYPERLINK("PDF Output/21786/Jan 2022/137403.pdf", "137403")</f>
        <v>137403</v>
      </c>
      <c r="E510" t="s">
        <v>10</v>
      </c>
      <c r="F510" t="s">
        <v>696</v>
      </c>
      <c r="G510">
        <v>235.13</v>
      </c>
    </row>
    <row r="511" spans="1:7" x14ac:dyDescent="0.25">
      <c r="A511" s="17">
        <v>44572</v>
      </c>
      <c r="B511" t="s">
        <v>102</v>
      </c>
      <c r="C511" t="s">
        <v>691</v>
      </c>
      <c r="D511" t="str">
        <f>HYPERLINK("PDF Output/21786/Jan 2022/137358.pdf", "137358")</f>
        <v>137358</v>
      </c>
      <c r="E511" t="s">
        <v>10</v>
      </c>
      <c r="F511" t="s">
        <v>697</v>
      </c>
      <c r="G511">
        <v>96.7</v>
      </c>
    </row>
    <row r="512" spans="1:7" x14ac:dyDescent="0.25">
      <c r="A512" s="17">
        <v>44573</v>
      </c>
      <c r="B512" t="s">
        <v>102</v>
      </c>
      <c r="C512" t="s">
        <v>691</v>
      </c>
      <c r="D512" t="str">
        <f>HYPERLINK("PDF Output/21786/Jan 2022/137582.pdf", "137582")</f>
        <v>137582</v>
      </c>
      <c r="E512" t="s">
        <v>10</v>
      </c>
      <c r="F512" t="s">
        <v>698</v>
      </c>
      <c r="G512">
        <v>40.1</v>
      </c>
    </row>
    <row r="513" spans="1:7" x14ac:dyDescent="0.25">
      <c r="A513" s="17">
        <v>44573</v>
      </c>
      <c r="B513" t="s">
        <v>58</v>
      </c>
      <c r="C513" t="s">
        <v>691</v>
      </c>
      <c r="D513" t="str">
        <f>HYPERLINK("PDF Output/21787/Jan 2022/137576.pdf", "137576")</f>
        <v>137576</v>
      </c>
      <c r="E513" t="s">
        <v>10</v>
      </c>
      <c r="F513" t="s">
        <v>699</v>
      </c>
      <c r="G513">
        <v>16.940000000000001</v>
      </c>
    </row>
    <row r="514" spans="1:7" x14ac:dyDescent="0.25">
      <c r="A514" s="17">
        <v>44573</v>
      </c>
      <c r="B514" t="s">
        <v>58</v>
      </c>
      <c r="C514" t="s">
        <v>691</v>
      </c>
      <c r="D514" t="str">
        <f>HYPERLINK("PDF Output/21787/Jan 2022/137540.pdf", "137540")</f>
        <v>137540</v>
      </c>
      <c r="E514" t="s">
        <v>10</v>
      </c>
      <c r="F514" t="s">
        <v>700</v>
      </c>
      <c r="G514">
        <v>40</v>
      </c>
    </row>
    <row r="515" spans="1:7" x14ac:dyDescent="0.25">
      <c r="A515" s="17">
        <v>44574</v>
      </c>
      <c r="B515" t="s">
        <v>102</v>
      </c>
      <c r="C515" t="s">
        <v>691</v>
      </c>
      <c r="D515" t="str">
        <f>HYPERLINK("PDF Output/21786/Jan 2022/137645.pdf", "137645")</f>
        <v>137645</v>
      </c>
      <c r="E515" t="s">
        <v>10</v>
      </c>
      <c r="F515" t="s">
        <v>701</v>
      </c>
      <c r="G515">
        <v>38.68</v>
      </c>
    </row>
    <row r="516" spans="1:7" x14ac:dyDescent="0.25">
      <c r="A516" s="17">
        <v>44579</v>
      </c>
      <c r="B516" t="s">
        <v>58</v>
      </c>
      <c r="C516" t="s">
        <v>691</v>
      </c>
      <c r="D516" t="str">
        <f>HYPERLINK("PDF Output/21787/Jan 2022/137823.pdf", "137823")</f>
        <v>137823</v>
      </c>
      <c r="E516" t="s">
        <v>10</v>
      </c>
      <c r="F516" t="s">
        <v>702</v>
      </c>
      <c r="G516">
        <v>164.36</v>
      </c>
    </row>
    <row r="517" spans="1:7" x14ac:dyDescent="0.25">
      <c r="A517" s="17">
        <v>44579</v>
      </c>
      <c r="B517" t="s">
        <v>58</v>
      </c>
      <c r="C517" t="s">
        <v>691</v>
      </c>
      <c r="D517" t="str">
        <f>HYPERLINK("PDF Output/21787/Jan 2022/137842.pdf", "137842")</f>
        <v>137842</v>
      </c>
      <c r="E517" t="s">
        <v>10</v>
      </c>
      <c r="F517" t="s">
        <v>703</v>
      </c>
      <c r="G517">
        <v>78.53</v>
      </c>
    </row>
    <row r="518" spans="1:7" x14ac:dyDescent="0.25">
      <c r="A518" s="17">
        <v>44584</v>
      </c>
      <c r="B518" t="s">
        <v>58</v>
      </c>
      <c r="C518" t="s">
        <v>665</v>
      </c>
      <c r="D518" t="str">
        <f>HYPERLINK("PDF Output/21787/Jan 2022/25 11958692.pdf", "25/11958692")</f>
        <v>25/11958692</v>
      </c>
      <c r="E518" t="s">
        <v>10</v>
      </c>
      <c r="F518" t="s">
        <v>704</v>
      </c>
      <c r="G518">
        <v>526.13</v>
      </c>
    </row>
    <row r="519" spans="1:7" x14ac:dyDescent="0.25">
      <c r="A519" s="17">
        <v>44584</v>
      </c>
      <c r="B519" t="s">
        <v>58</v>
      </c>
      <c r="C519" t="s">
        <v>665</v>
      </c>
      <c r="D519" t="str">
        <f>HYPERLINK("PDF Output/21787/Jan 2022/25 11958693.pdf", "25/11958693")</f>
        <v>25/11958693</v>
      </c>
      <c r="E519" t="s">
        <v>10</v>
      </c>
      <c r="F519" t="s">
        <v>705</v>
      </c>
      <c r="G519">
        <v>126.53</v>
      </c>
    </row>
    <row r="520" spans="1:7" x14ac:dyDescent="0.25">
      <c r="A520" s="17">
        <v>44584</v>
      </c>
      <c r="B520" t="s">
        <v>58</v>
      </c>
      <c r="C520" t="s">
        <v>665</v>
      </c>
      <c r="D520" t="str">
        <f>HYPERLINK("PDF Output/21787/Jan 2022/25 11958694.pdf", "25/11958694")</f>
        <v>25/11958694</v>
      </c>
      <c r="E520" t="s">
        <v>10</v>
      </c>
      <c r="F520" t="s">
        <v>706</v>
      </c>
      <c r="G520">
        <v>11.52</v>
      </c>
    </row>
    <row r="521" spans="1:7" x14ac:dyDescent="0.25">
      <c r="A521" s="17">
        <v>44582</v>
      </c>
      <c r="B521" t="s">
        <v>102</v>
      </c>
      <c r="C521" t="s">
        <v>707</v>
      </c>
      <c r="D521" t="str">
        <f>HYPERLINK("PDF Output/21786/Jan 2022/045400.pdf", "045400")</f>
        <v>045400</v>
      </c>
      <c r="E521" t="s">
        <v>10</v>
      </c>
      <c r="F521" t="s">
        <v>708</v>
      </c>
      <c r="G521">
        <v>279.87</v>
      </c>
    </row>
    <row r="522" spans="1:7" x14ac:dyDescent="0.25">
      <c r="A522" s="17">
        <v>44575</v>
      </c>
      <c r="B522" t="s">
        <v>58</v>
      </c>
      <c r="C522" t="s">
        <v>662</v>
      </c>
      <c r="D522" t="str">
        <f>HYPERLINK("PDF Output/21787/Jan 2022/A10200.pdf", "A10200")</f>
        <v>A10200</v>
      </c>
      <c r="E522" t="s">
        <v>10</v>
      </c>
      <c r="F522" t="s">
        <v>709</v>
      </c>
      <c r="G522">
        <v>592.5</v>
      </c>
    </row>
    <row r="523" spans="1:7" x14ac:dyDescent="0.25">
      <c r="A523" s="17">
        <v>44582</v>
      </c>
      <c r="B523" t="s">
        <v>58</v>
      </c>
      <c r="C523" t="s">
        <v>687</v>
      </c>
      <c r="D523" t="str">
        <f>HYPERLINK("PDF Output/21787/Jan 2022/853045.pdf", "853045")</f>
        <v>853045</v>
      </c>
      <c r="E523" t="s">
        <v>18</v>
      </c>
      <c r="F523" t="s">
        <v>710</v>
      </c>
      <c r="G523">
        <v>1064</v>
      </c>
    </row>
    <row r="524" spans="1:7" x14ac:dyDescent="0.25">
      <c r="A524" s="17">
        <v>44582</v>
      </c>
      <c r="B524" t="s">
        <v>58</v>
      </c>
      <c r="C524" t="s">
        <v>592</v>
      </c>
      <c r="D524" t="str">
        <f>HYPERLINK("PDF Output/21787/Jan 2022/340258.pdf", "340258")</f>
        <v>340258</v>
      </c>
      <c r="E524" t="s">
        <v>18</v>
      </c>
      <c r="F524" t="s">
        <v>711</v>
      </c>
      <c r="G524">
        <v>460.75</v>
      </c>
    </row>
    <row r="525" spans="1:7" x14ac:dyDescent="0.25">
      <c r="A525" s="17">
        <v>44581</v>
      </c>
      <c r="B525" t="s">
        <v>58</v>
      </c>
      <c r="C525" t="s">
        <v>245</v>
      </c>
      <c r="D525" t="str">
        <f>HYPERLINK("PDF Output/21787/Jan 2022/359748.pdf", "359748")</f>
        <v>359748</v>
      </c>
      <c r="E525" t="s">
        <v>10</v>
      </c>
      <c r="F525" t="s">
        <v>712</v>
      </c>
      <c r="G525">
        <v>503.04</v>
      </c>
    </row>
    <row r="526" spans="1:7" x14ac:dyDescent="0.25">
      <c r="A526" s="17">
        <v>44575</v>
      </c>
      <c r="B526" t="s">
        <v>93</v>
      </c>
      <c r="C526" t="s">
        <v>282</v>
      </c>
      <c r="D526" t="str">
        <f>HYPERLINK("PDF Output/21781/Jan 2022/0623 00145935.pdf", "0623/00145935")</f>
        <v>0623/00145935</v>
      </c>
      <c r="E526" t="s">
        <v>10</v>
      </c>
      <c r="F526" t="s">
        <v>713</v>
      </c>
      <c r="G526">
        <v>156.99</v>
      </c>
    </row>
    <row r="527" spans="1:7" x14ac:dyDescent="0.25">
      <c r="A527" s="17">
        <v>44572</v>
      </c>
      <c r="B527" t="s">
        <v>93</v>
      </c>
      <c r="C527" t="s">
        <v>691</v>
      </c>
      <c r="D527" t="str">
        <f>HYPERLINK("PDF Output/21781/Jan 2022/137499.pdf", "137499")</f>
        <v>137499</v>
      </c>
      <c r="E527" t="s">
        <v>10</v>
      </c>
      <c r="F527" t="s">
        <v>714</v>
      </c>
      <c r="G527">
        <v>0</v>
      </c>
    </row>
    <row r="528" spans="1:7" x14ac:dyDescent="0.25">
      <c r="A528" s="17">
        <v>44572</v>
      </c>
      <c r="B528" t="s">
        <v>58</v>
      </c>
      <c r="C528" t="s">
        <v>691</v>
      </c>
      <c r="D528" t="str">
        <f>HYPERLINK("PDF Output/21787/Jan 2022/137499.pdf", "137499")</f>
        <v>137499</v>
      </c>
      <c r="E528" t="s">
        <v>10</v>
      </c>
      <c r="F528" t="s">
        <v>715</v>
      </c>
      <c r="G528">
        <v>287.74</v>
      </c>
    </row>
    <row r="529" spans="1:7" x14ac:dyDescent="0.25">
      <c r="A529" s="17">
        <v>44572</v>
      </c>
      <c r="B529" t="s">
        <v>58</v>
      </c>
      <c r="C529" t="s">
        <v>691</v>
      </c>
      <c r="D529" t="str">
        <f>HYPERLINK("PDF Output/21787/Jan 2022/137479.pdf", "137479")</f>
        <v>137479</v>
      </c>
      <c r="E529" t="s">
        <v>10</v>
      </c>
      <c r="F529" t="s">
        <v>716</v>
      </c>
      <c r="G529">
        <v>156.80000000000001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Oddell</dc:creator>
  <cp:lastModifiedBy>Matthew Oddell</cp:lastModifiedBy>
  <dcterms:created xsi:type="dcterms:W3CDTF">2015-06-05T18:17:20Z</dcterms:created>
  <dcterms:modified xsi:type="dcterms:W3CDTF">2022-01-26T14:45:51Z</dcterms:modified>
</cp:coreProperties>
</file>