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3"/>
  <workbookPr/>
  <mc:AlternateContent xmlns:mc="http://schemas.openxmlformats.org/markup-compatibility/2006">
    <mc:Choice Requires="x15">
      <x15ac:absPath xmlns:x15ac="http://schemas.microsoft.com/office/spreadsheetml/2010/11/ac" url="https://d.docs.live.net/8fcb2596e0a8daf8/ICOLVEN/Periodo 4/Planillas/"/>
    </mc:Choice>
  </mc:AlternateContent>
  <xr:revisionPtr revIDLastSave="0" documentId="8_{1B689B1E-141F-4312-BA92-72A64E777693}" xr6:coauthVersionLast="47" xr6:coauthVersionMax="47" xr10:uidLastSave="{00000000-0000-0000-0000-000000000000}"/>
  <bookViews>
    <workbookView xWindow="-120" yWindow="-120" windowWidth="20730" windowHeight="11160" firstSheet="3" activeTab="1" xr2:uid="{00000000-000D-0000-FFFF-FFFF00000000}"/>
  </bookViews>
  <sheets>
    <sheet name="6°" sheetId="1" r:id="rId1"/>
    <sheet name="7°" sheetId="2" r:id="rId2"/>
    <sheet name="8°" sheetId="3" r:id="rId3"/>
    <sheet name="9°" sheetId="4" r:id="rId4"/>
    <sheet name="10°" sheetId="5" r:id="rId5"/>
    <sheet name="11°" sheetId="6" r:id="rId6"/>
  </sheets>
  <definedNames>
    <definedName name="_xlnm._FilterDatabase" localSheetId="4" hidden="1">'10°'!$B$4:$D$4</definedName>
    <definedName name="_xlnm._FilterDatabase" localSheetId="5" hidden="1">'11°'!$B$4:$D$4</definedName>
    <definedName name="_xlnm._FilterDatabase" localSheetId="0" hidden="1">'6°'!$B$4:$D$4</definedName>
    <definedName name="_xlnm._FilterDatabase" localSheetId="1" hidden="1">'7°'!$B$4:$D$4</definedName>
    <definedName name="_xlnm._FilterDatabase" localSheetId="2" hidden="1">'8°'!$B$4:$D$4</definedName>
    <definedName name="_xlnm._FilterDatabase" localSheetId="3" hidden="1">'9°'!$B$4:$D$4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G24" i="1"/>
  <c r="J12" i="1" l="1"/>
  <c r="I18" i="5"/>
  <c r="K8" i="4"/>
  <c r="K9" i="4"/>
  <c r="K10" i="4"/>
  <c r="K12" i="4"/>
  <c r="K13" i="4"/>
  <c r="K14" i="4"/>
  <c r="K17" i="4"/>
  <c r="K26" i="4"/>
  <c r="H7" i="3" l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6" i="3"/>
  <c r="J23" i="1"/>
  <c r="J21" i="6"/>
  <c r="I28" i="3"/>
  <c r="I21" i="3"/>
  <c r="I9" i="3"/>
  <c r="I6" i="3"/>
  <c r="L27" i="4"/>
  <c r="L19" i="4"/>
  <c r="L18" i="4"/>
  <c r="I15" i="3"/>
  <c r="I14" i="3"/>
  <c r="I11" i="3"/>
  <c r="K21" i="1"/>
  <c r="K17" i="1"/>
  <c r="K12" i="1"/>
  <c r="J27" i="6"/>
  <c r="J20" i="6"/>
  <c r="J10" i="6"/>
  <c r="J10" i="5"/>
  <c r="J23" i="5"/>
  <c r="J20" i="5"/>
  <c r="J12" i="5"/>
  <c r="J14" i="5"/>
  <c r="J30" i="5"/>
  <c r="J28" i="5"/>
  <c r="J11" i="5"/>
  <c r="J31" i="5"/>
  <c r="J24" i="5"/>
  <c r="J18" i="5"/>
  <c r="J16" i="5"/>
  <c r="L13" i="4"/>
  <c r="L20" i="4"/>
  <c r="L16" i="4"/>
  <c r="L23" i="4"/>
  <c r="L15" i="4"/>
  <c r="L22" i="4"/>
  <c r="K24" i="2"/>
  <c r="K20" i="2"/>
  <c r="K14" i="2"/>
  <c r="K25" i="2"/>
  <c r="K17" i="2"/>
  <c r="K13" i="2"/>
  <c r="K28" i="2"/>
  <c r="K26" i="2"/>
  <c r="K10" i="2"/>
  <c r="J22" i="1" l="1"/>
  <c r="G18" i="1"/>
  <c r="G17" i="1"/>
  <c r="G15" i="1"/>
  <c r="G10" i="1"/>
  <c r="J18" i="6"/>
  <c r="J17" i="5"/>
  <c r="J7" i="5"/>
  <c r="J25" i="5"/>
  <c r="K16" i="2"/>
  <c r="K8" i="2"/>
  <c r="K7" i="2"/>
  <c r="K9" i="1"/>
  <c r="K6" i="1"/>
  <c r="K8" i="1"/>
  <c r="J8" i="5"/>
  <c r="J19" i="5"/>
  <c r="J22" i="5"/>
  <c r="H14" i="1"/>
  <c r="K15" i="1"/>
  <c r="K13" i="1"/>
  <c r="K10" i="1"/>
  <c r="I8" i="3"/>
  <c r="I13" i="3"/>
  <c r="I26" i="3"/>
  <c r="K12" i="2"/>
  <c r="K22" i="2"/>
  <c r="J11" i="6"/>
  <c r="J13" i="6"/>
  <c r="J8" i="6"/>
  <c r="J14" i="6"/>
  <c r="J25" i="6"/>
  <c r="J17" i="6"/>
  <c r="J29" i="6"/>
  <c r="J16" i="6"/>
  <c r="J23" i="6"/>
  <c r="J22" i="6"/>
  <c r="J12" i="6"/>
  <c r="J28" i="6"/>
  <c r="J19" i="6"/>
  <c r="J9" i="6"/>
  <c r="J15" i="6"/>
  <c r="J6" i="6"/>
  <c r="J26" i="5"/>
  <c r="J15" i="5"/>
  <c r="J9" i="5"/>
  <c r="J32" i="5"/>
  <c r="J6" i="5"/>
  <c r="J27" i="5"/>
  <c r="J29" i="5"/>
  <c r="J13" i="5"/>
  <c r="J21" i="5"/>
  <c r="L25" i="4"/>
  <c r="L24" i="4"/>
  <c r="L26" i="4"/>
  <c r="L8" i="4"/>
  <c r="L14" i="4"/>
  <c r="L7" i="4"/>
  <c r="L6" i="4"/>
  <c r="L10" i="4"/>
  <c r="L9" i="4"/>
  <c r="L11" i="4"/>
  <c r="L28" i="4"/>
  <c r="L21" i="4"/>
  <c r="I25" i="3"/>
  <c r="I37" i="3"/>
  <c r="I22" i="3"/>
  <c r="I10" i="3"/>
  <c r="I23" i="3"/>
  <c r="I30" i="3"/>
  <c r="I32" i="3"/>
  <c r="I18" i="3"/>
  <c r="I38" i="3"/>
  <c r="I16" i="3"/>
  <c r="I7" i="3"/>
  <c r="I19" i="3"/>
  <c r="I17" i="3"/>
  <c r="I20" i="3"/>
  <c r="I31" i="3"/>
  <c r="I36" i="3"/>
  <c r="I12" i="3"/>
  <c r="I29" i="3"/>
  <c r="I33" i="3"/>
  <c r="K23" i="2"/>
  <c r="K9" i="2"/>
  <c r="K18" i="2"/>
  <c r="K19" i="2"/>
  <c r="K6" i="2"/>
  <c r="K11" i="2"/>
  <c r="K15" i="2"/>
  <c r="K27" i="2"/>
  <c r="K7" i="1"/>
  <c r="K18" i="1"/>
  <c r="K20" i="1"/>
  <c r="K11" i="1"/>
  <c r="K19" i="1"/>
  <c r="K22" i="1"/>
  <c r="K16" i="1"/>
  <c r="K23" i="1"/>
  <c r="K14" i="1"/>
  <c r="G25" i="5"/>
  <c r="I25" i="5" s="1"/>
  <c r="H7" i="1" l="1"/>
  <c r="J7" i="1" s="1"/>
  <c r="H21" i="1" l="1"/>
  <c r="J21" i="1" s="1"/>
  <c r="H6" i="1"/>
  <c r="G16" i="5"/>
  <c r="I16" i="5" s="1"/>
  <c r="H15" i="4" l="1"/>
  <c r="K15" i="4" s="1"/>
  <c r="G14" i="4"/>
  <c r="G7" i="4"/>
  <c r="G8" i="4"/>
  <c r="G9" i="4"/>
  <c r="G10" i="4"/>
  <c r="G11" i="4"/>
  <c r="G12" i="4"/>
  <c r="G13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6" i="4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6" i="2"/>
  <c r="J24" i="1"/>
  <c r="J20" i="1"/>
  <c r="J19" i="1"/>
  <c r="J18" i="1"/>
  <c r="J17" i="1"/>
  <c r="J16" i="1"/>
  <c r="J15" i="1"/>
  <c r="J14" i="1"/>
  <c r="J13" i="1"/>
  <c r="J11" i="1"/>
  <c r="J10" i="1"/>
  <c r="J9" i="1"/>
  <c r="J8" i="1"/>
  <c r="J6" i="1"/>
  <c r="G23" i="1"/>
  <c r="G22" i="1"/>
  <c r="G21" i="1"/>
  <c r="G19" i="1"/>
  <c r="G14" i="1"/>
  <c r="G13" i="1"/>
  <c r="G7" i="1"/>
  <c r="G12" i="1"/>
  <c r="G11" i="1"/>
  <c r="G8" i="1"/>
  <c r="G20" i="1"/>
  <c r="G16" i="1"/>
  <c r="G9" i="1"/>
  <c r="G6" i="1"/>
  <c r="H8" i="1"/>
  <c r="H9" i="1"/>
  <c r="H10" i="1"/>
  <c r="H12" i="1"/>
  <c r="H13" i="1"/>
  <c r="H15" i="1"/>
  <c r="H17" i="1"/>
  <c r="H18" i="1"/>
  <c r="H20" i="1"/>
  <c r="H24" i="1"/>
  <c r="H7" i="4"/>
  <c r="K7" i="4" s="1"/>
  <c r="E23" i="3"/>
  <c r="E19" i="3"/>
  <c r="E10" i="3"/>
  <c r="G31" i="5"/>
  <c r="I31" i="5" s="1"/>
  <c r="E14" i="3" l="1"/>
  <c r="G12" i="5"/>
  <c r="I12" i="5" s="1"/>
  <c r="E17" i="3"/>
  <c r="G20" i="5"/>
  <c r="I20" i="5" s="1"/>
  <c r="G14" i="5"/>
  <c r="I14" i="5" s="1"/>
  <c r="G24" i="5"/>
  <c r="I24" i="5" s="1"/>
  <c r="E27" i="3" l="1"/>
  <c r="E36" i="3"/>
  <c r="E32" i="3"/>
  <c r="E35" i="3"/>
  <c r="E28" i="3"/>
  <c r="E33" i="3"/>
  <c r="E22" i="3"/>
  <c r="E31" i="3"/>
  <c r="E37" i="3"/>
  <c r="E30" i="3"/>
  <c r="E29" i="3"/>
  <c r="E26" i="3"/>
  <c r="G17" i="5"/>
  <c r="I17" i="5" s="1"/>
  <c r="G23" i="5"/>
  <c r="I23" i="5" s="1"/>
  <c r="G6" i="5"/>
  <c r="I6" i="5" s="1"/>
  <c r="G7" i="5"/>
  <c r="I7" i="5" s="1"/>
  <c r="H28" i="4"/>
  <c r="K28" i="4" s="1"/>
  <c r="H27" i="4"/>
  <c r="K27" i="4" s="1"/>
  <c r="H25" i="4"/>
  <c r="K25" i="4" s="1"/>
  <c r="H24" i="4"/>
  <c r="K24" i="4" s="1"/>
  <c r="H23" i="4"/>
  <c r="K23" i="4" s="1"/>
  <c r="H22" i="4"/>
  <c r="K22" i="4" s="1"/>
  <c r="H21" i="4"/>
  <c r="K21" i="4" s="1"/>
  <c r="H20" i="4"/>
  <c r="K20" i="4" s="1"/>
  <c r="H19" i="4"/>
  <c r="K19" i="4" s="1"/>
  <c r="H18" i="4"/>
  <c r="K18" i="4" s="1"/>
  <c r="H16" i="4"/>
  <c r="K16" i="4" s="1"/>
  <c r="H11" i="4"/>
  <c r="K11" i="4" s="1"/>
  <c r="H6" i="4"/>
  <c r="K6" i="4" s="1"/>
  <c r="E38" i="3"/>
  <c r="E20" i="3"/>
  <c r="E18" i="3"/>
  <c r="E16" i="3"/>
  <c r="E15" i="3"/>
  <c r="E12" i="3"/>
  <c r="E11" i="3"/>
  <c r="E8" i="3"/>
  <c r="E7" i="3"/>
  <c r="E6" i="3"/>
  <c r="G28" i="5"/>
  <c r="I28" i="5" s="1"/>
  <c r="E21" i="3"/>
  <c r="E9" i="3"/>
  <c r="E13" i="3"/>
  <c r="G8" i="5"/>
  <c r="I8" i="5" s="1"/>
  <c r="G11" i="5"/>
  <c r="I11" i="5" s="1"/>
  <c r="G10" i="5"/>
  <c r="I10" i="5" s="1"/>
  <c r="G21" i="5"/>
  <c r="I21" i="5" s="1"/>
  <c r="G13" i="5"/>
  <c r="I13" i="5" s="1"/>
  <c r="G22" i="5"/>
  <c r="I22" i="5" s="1"/>
  <c r="G9" i="5"/>
  <c r="I9" i="5" s="1"/>
  <c r="G29" i="5"/>
  <c r="I29" i="5" s="1"/>
  <c r="G30" i="5"/>
  <c r="I30" i="5" s="1"/>
  <c r="G19" i="5"/>
  <c r="I19" i="5" s="1"/>
  <c r="G27" i="5"/>
  <c r="I27" i="5" s="1"/>
  <c r="G26" i="5"/>
  <c r="I26" i="5" s="1"/>
  <c r="G32" i="5"/>
  <c r="I32" i="5" s="1"/>
  <c r="G15" i="5"/>
  <c r="I1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StephanyFG</author>
    <author>123</author>
    <author>Stephany Franco</author>
  </authors>
  <commentList>
    <comment ref="F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StephanyFG:</t>
        </r>
        <r>
          <rPr>
            <sz val="9"/>
            <color indexed="81"/>
            <rFont val="Tahoma"/>
            <family val="2"/>
          </rPr>
          <t xml:space="preserve">
Past Simple Sentences /</t>
        </r>
      </text>
    </comment>
    <comment ref="I5" authorId="1" shapeId="0" xr:uid="{EF317B19-9B19-495E-890D-5F0ACEAC76A9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Pag 77 - act 6</t>
        </r>
      </text>
    </comment>
    <comment ref="P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StephanyFG:</t>
        </r>
        <r>
          <rPr>
            <sz val="9"/>
            <color indexed="81"/>
            <rFont val="Tahoma"/>
            <family val="2"/>
          </rPr>
          <t xml:space="preserve">
02/08/21</t>
        </r>
      </text>
    </comment>
    <comment ref="R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StephanyFG:</t>
        </r>
        <r>
          <rPr>
            <sz val="9"/>
            <color indexed="81"/>
            <rFont val="Tahoma"/>
            <family val="2"/>
          </rPr>
          <t xml:space="preserve">
Present Continuous (13/07)</t>
        </r>
      </text>
    </comment>
    <comment ref="S5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StephanyFG:</t>
        </r>
        <r>
          <rPr>
            <sz val="9"/>
            <color indexed="81"/>
            <rFont val="Tahoma"/>
            <family val="2"/>
          </rPr>
          <t xml:space="preserve">
Past Simple (making sentences) / Completing a text and reading *</t>
        </r>
      </text>
    </comment>
    <comment ref="C6" authorId="1" shapeId="0" xr:uid="{53C549CB-8937-4AE5-BB59-EDF794FCD578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Revisé su libro nuevamente 02/11/21, pero está igual que la última vez que lo prensentó. Sigue incompleto.</t>
        </r>
      </text>
    </comment>
    <comment ref="F6" authorId="2" shapeId="0" xr:uid="{7224EF69-5F4D-451E-A96D-B69BD67764CA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No hizo las frases trabajadas en clase.</t>
        </r>
      </text>
    </comment>
    <comment ref="P6" authorId="2" shapeId="0" xr:uid="{A7E1D685-D276-4159-9647-4BC2010D07D0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No estuvo en clase.</t>
        </r>
      </text>
    </comment>
    <comment ref="Q6" authorId="2" shapeId="0" xr:uid="{2B9F0358-C559-446B-B880-79A309F9D4AE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M8" authorId="1" shapeId="0" xr:uid="{5B7812AB-D5C7-47AC-95FB-20FD8CE28872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Corrigió (19/10/21)</t>
        </r>
      </text>
    </comment>
    <comment ref="Q8" authorId="2" shapeId="0" xr:uid="{E8CBAB6B-D74C-468D-BC3A-F836DD4B0360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R8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To be in past tense (was/were)</t>
        </r>
      </text>
    </comment>
    <comment ref="F10" authorId="2" shapeId="0" xr:uid="{4DC7405C-3345-4D6F-9D50-22819ABCE3C8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Presentó las frases</t>
        </r>
      </text>
    </comment>
    <comment ref="M10" authorId="2" shapeId="0" xr:uid="{9744EDA7-102E-44ED-9F21-3FCB2142BE3F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Presentó su investigación de verbos regulares e irregulares. (22/10/21)</t>
        </r>
      </text>
    </comment>
    <comment ref="Q11" authorId="2" shapeId="0" xr:uid="{03523DB8-9825-429D-82CB-BAF96579AE71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C12" authorId="1" shapeId="0" xr:uid="{A00F04F2-101C-4680-ACAD-E8604C10CB50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Revisé su libro nuevamente 02/11/21, pero está igual que la última vez que lo prensentó. Sigue incompleto.</t>
        </r>
      </text>
    </comment>
    <comment ref="F12" authorId="2" shapeId="0" xr:uid="{1A49A05C-1907-4D1C-B6BB-6E363ED27303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No hizo las frases trabajadas en clase.</t>
        </r>
      </text>
    </comment>
    <comment ref="K12" authorId="1" shapeId="0" xr:uid="{BC70A142-7062-4D3C-A983-44E639F8996C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Presentaron una semana después de la fecha.</t>
        </r>
      </text>
    </comment>
    <comment ref="Q12" authorId="2" shapeId="0" xr:uid="{422D8DA7-1077-4A6A-94F2-8303F5C19EA4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N13" authorId="1" shapeId="0" xr:uid="{22BF5737-070D-455A-A24B-5D80544D4A74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Solo hizo 3 puntos de los 6. (24/10/21)
Presentó el punto 6.</t>
        </r>
      </text>
    </comment>
    <comment ref="F15" authorId="2" shapeId="0" xr:uid="{60F9FEAE-45DA-4DC6-9B55-3B94AA51F770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No hizo las frases trabajadas en clase.
Presentó las frases (22/10/21)</t>
        </r>
      </text>
    </comment>
    <comment ref="N15" authorId="2" shapeId="0" xr:uid="{4035C2DA-A47F-485D-B525-98AF5038D8DF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Sólo desarrolló 3 de los 6 puntos. (25/10/21)
Terminó esta página (08/11/21)</t>
        </r>
      </text>
    </comment>
    <comment ref="Q15" authorId="2" shapeId="0" xr:uid="{0594DD4A-FD14-4F73-A65F-B502357F82E5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L16" authorId="2" shapeId="0" xr:uid="{50979571-E671-4B2E-8584-F90396A06693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Because of the spelling</t>
        </r>
      </text>
    </comment>
    <comment ref="F17" authorId="2" shapeId="0" xr:uid="{3D432C6C-E4ED-4F79-BBEE-60D753B2D67B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No trajo el cuaderno. Esto ocurre frecuentemente.
Presentó las frases (22/10/21)</t>
        </r>
      </text>
    </comment>
    <comment ref="K17" authorId="1" shapeId="0" xr:uid="{15C6F2BC-7837-4B8C-864F-893740B871FF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Presentaron una semana después de la fecha.</t>
        </r>
      </text>
    </comment>
    <comment ref="M17" authorId="2" shapeId="0" xr:uid="{4A33BD6C-8BAE-4E4B-A102-1854344F874C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No trajo el cuaderno.
Presentó los verbos (22/10/21)</t>
        </r>
      </text>
    </comment>
    <comment ref="P17" authorId="2" shapeId="0" xr:uid="{17C74686-FDE7-413E-A9AA-9AF1D14895C0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Estuvo en clase, pero no realizó el quiz.</t>
        </r>
      </text>
    </comment>
    <comment ref="F18" authorId="2" shapeId="0" xr:uid="{29E8C013-4ECE-4D81-807D-6F4E47B900C8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No hizo las frases trabajadas en clase.</t>
        </r>
      </text>
    </comment>
    <comment ref="M18" authorId="2" shapeId="0" xr:uid="{742C9D10-DEAA-4F80-8519-38A8E85BBA04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No trajo el cuaderno.
Presentó la tarea (25/10/21)</t>
        </r>
      </text>
    </comment>
    <comment ref="N18" authorId="2" shapeId="0" xr:uid="{CC9AD0E0-7D76-47EC-8CD3-B55D5F1F33CE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Sólo desarrolló 3 de los 6 puntos. (25/10/21)</t>
        </r>
      </text>
    </comment>
    <comment ref="Q18" authorId="2" shapeId="0" xr:uid="{58571CD9-6DFC-4FC6-91F9-8085FA18D58C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terminó las actividades asignadas y las que hizo le quedaron con porcentaje muy bajo (03/11/21)</t>
        </r>
      </text>
    </comment>
    <comment ref="L19" authorId="2" shapeId="0" xr:uid="{FDF87B73-8AC2-4066-BCE6-8281486DAC62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Because of the spelling</t>
        </r>
      </text>
    </comment>
    <comment ref="O20" authorId="2" shapeId="0" xr:uid="{8343569E-1EB4-4008-86FA-94B93E17B705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Presentó esta página (08/11/21)</t>
        </r>
      </text>
    </comment>
    <comment ref="Q20" authorId="2" shapeId="0" xr:uid="{1EDE3B34-2E93-4EE3-B5D3-0CBF21E0DC58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F21" authorId="2" shapeId="0" xr:uid="{697B82A7-47C2-4E76-8ADE-B09455512C34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No hizo las frases trabajadas en clase.</t>
        </r>
      </text>
    </comment>
    <comment ref="K21" authorId="1" shapeId="0" xr:uid="{6B8D1614-170A-4268-B8C2-181EE38376BC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Presentó una semana después de la fecha.</t>
        </r>
      </text>
    </comment>
    <comment ref="O21" authorId="2" shapeId="0" xr:uid="{C43D0672-F872-4C79-B06D-B25FE94E6476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Hizo 3 de los 6 puntos. (25/10/21)</t>
        </r>
      </text>
    </comment>
    <comment ref="P21" authorId="2" shapeId="0" xr:uid="{FD600A99-8EE7-460D-898C-55D52A442585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Estuvo en la segunda hora de la clase y no realizó el quiz.
Recuperó (13/10/21)</t>
        </r>
      </text>
    </comment>
    <comment ref="Q21" authorId="2" shapeId="0" xr:uid="{481CE198-B5B1-4638-8B6A-D00975213126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E22" authorId="2" shapeId="0" xr:uid="{DA5C2E9B-3AD0-4085-9567-C294681A831C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Enviará audio con lo que hizo el día anterior para recuperar esta participación en clase. (02/11/21)</t>
        </r>
      </text>
    </comment>
    <comment ref="Q23" authorId="2" shapeId="0" xr:uid="{CAA1233D-ACBE-4379-BA86-820C0BE3E3BE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F24" authorId="2" shapeId="0" xr:uid="{76DD52D6-7DF7-4AF3-9398-212FA6720201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No hizo las frases trabajadas en clase.</t>
        </r>
      </text>
    </comment>
    <comment ref="K24" authorId="1" shapeId="0" xr:uid="{48750D58-00D2-42BB-BE28-7535ABE7B285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presentó el proyecto. Le di una semana más para presentar algo, pero no lo hizo. (03/11/21)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StephanyFG</author>
    <author>Stephany Franco</author>
    <author>123</author>
  </authors>
  <commentList>
    <comment ref="E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StephanyFG:</t>
        </r>
        <r>
          <rPr>
            <sz val="9"/>
            <color indexed="81"/>
            <rFont val="Tahoma"/>
            <family val="2"/>
          </rPr>
          <t xml:space="preserve">
Pag 74 (act 4, 5, and 6)</t>
        </r>
      </text>
    </comment>
    <comment ref="F5" authorId="1" shapeId="0" xr:uid="{52C0F92E-6CD7-4029-BE44-B11E28D714DF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Pag 75 Listening activity</t>
        </r>
      </text>
    </comment>
    <comment ref="I5" authorId="1" shapeId="0" xr:uid="{EE5F3924-42B3-47ED-B9CC-158CE5B0752A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Comparatives and superlatives (exercise)</t>
        </r>
      </text>
    </comment>
    <comment ref="Q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StephanyFG:</t>
        </r>
        <r>
          <rPr>
            <sz val="9"/>
            <color indexed="81"/>
            <rFont val="Tahoma"/>
            <family val="2"/>
          </rPr>
          <t xml:space="preserve">
Activity 7 (pag 72) + Pag 74 (questions and answers) + Pag 75 + Questions pag 75 (8)
</t>
        </r>
      </text>
    </comment>
    <comment ref="R5" authorId="1" shapeId="0" xr:uid="{77E69522-7043-419B-BF5D-C8234E0C67F1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Work in class 05/10 - Places</t>
        </r>
      </text>
    </comment>
    <comment ref="V5" authorId="1" shapeId="0" xr:uid="{9A63B1C0-2DFB-4488-9964-E83EF386E0E4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Participation in the cheese race (02/11/21)</t>
        </r>
      </text>
    </comment>
    <comment ref="W5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StephanyFG:</t>
        </r>
        <r>
          <rPr>
            <sz val="9"/>
            <color indexed="81"/>
            <rFont val="Tahoma"/>
            <family val="2"/>
          </rPr>
          <t xml:space="preserve">
Modal Verbs +</t>
        </r>
      </text>
    </comment>
    <comment ref="K6" authorId="1" shapeId="0" xr:uid="{099071ED-0AAF-4BC3-A0D7-46ECC13F7FB5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Resolvió las páginas en el cuaderno. No presentó en Word. OK REVISADO</t>
        </r>
      </text>
    </comment>
    <comment ref="P6" authorId="1" shapeId="0" xr:uid="{868D286B-EB2D-4262-8F4E-5C46A91DDE4B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O7" authorId="1" shapeId="0" xr:uid="{7C28601D-1573-492A-8F57-53A68AD5FC61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Se le cayó el internet.</t>
        </r>
      </text>
    </comment>
    <comment ref="M9" authorId="2" shapeId="0" xr:uid="{CDF98E4B-52EE-45F6-804C-50E71F12E12D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Envió corrección.</t>
        </r>
      </text>
    </comment>
    <comment ref="N9" authorId="2" shapeId="0" xr:uid="{67081142-08C7-41F3-9682-DD47FDCC4004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Envió fuera de tiempo.</t>
        </r>
      </text>
    </comment>
    <comment ref="O9" authorId="1" shapeId="0" xr:uid="{DD6D58DC-48BA-4E27-95E3-08BF44211165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Se le bloqueó el computador.</t>
        </r>
      </text>
    </comment>
    <comment ref="P9" authorId="1" shapeId="0" xr:uid="{7A23F297-AFDC-418C-8CE6-5DBC8E9D5481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K10" authorId="2" shapeId="0" xr:uid="{55569A13-4B5C-4A91-84BE-3986029C19C8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enviaron Word.</t>
        </r>
      </text>
    </comment>
    <comment ref="O10" authorId="1" shapeId="0" xr:uid="{9680CC3B-ED41-488F-9583-4E076DD5B8DD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Se le fue el internet. Aún no lo ha presentado.
Le habilité este quiz para hoy en la tarde (08/11/21)</t>
        </r>
      </text>
    </comment>
    <comment ref="M12" authorId="2" shapeId="0" xr:uid="{9B5719E5-0F35-4ED4-BCCD-A44C0141D36D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Le faltó hacer el punto 6 y el punto 2 le quedó malo.</t>
        </r>
      </text>
    </comment>
    <comment ref="N12" authorId="2" shapeId="0" xr:uid="{AE6C7D31-1154-42BF-A630-5882A945E899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No hizo el punto 1 y le quedó malo el punto 3.</t>
        </r>
      </text>
    </comment>
    <comment ref="K13" authorId="2" shapeId="0" xr:uid="{7EFE7850-4AB9-494A-92CD-D9FC47F090A0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enviaron Word.</t>
        </r>
      </text>
    </comment>
    <comment ref="M13" authorId="2" shapeId="0" xr:uid="{3B542F46-BBF6-4C39-B65F-42EF0A7CFED4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Le faltó hacer los puntos 2 y 6.</t>
        </r>
      </text>
    </comment>
    <comment ref="N13" authorId="2" shapeId="0" xr:uid="{C5795098-AA28-4796-BAC9-48D1F13F5FD7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Solo hizo 2 puntos de 5.</t>
        </r>
      </text>
    </comment>
    <comment ref="O13" authorId="1" shapeId="0" xr:uid="{C1FD32F0-5D09-4B3C-91A4-A542515D758B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Le activé este quiz como recuperación para mañana en la tarde (08/11/21)</t>
        </r>
      </text>
    </comment>
    <comment ref="K14" authorId="1" shapeId="0" xr:uid="{2BCB1266-1B22-43F0-982E-F49234E0B96E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han enviado el Word porque no han podido acceder a los videos (03/11/21)</t>
        </r>
      </text>
    </comment>
    <comment ref="P14" authorId="1" shapeId="0" xr:uid="{5094F4AE-E4F4-4F8F-8A6A-8328312299BE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O15" authorId="1" shapeId="0" xr:uid="{7F5F8390-2C93-4EFA-841D-4F09FA9FCBE2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Nota original: 2,2. Recuperó 05/10/21</t>
        </r>
      </text>
    </comment>
    <comment ref="O16" authorId="1" shapeId="0" xr:uid="{6F084111-6415-4C05-BDC3-8F669023D27E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Le habilité este quiz como recuperación para mañana en la tarde (08/11/21)</t>
        </r>
      </text>
    </comment>
    <comment ref="P16" authorId="1" shapeId="0" xr:uid="{6EBAC6FB-2562-445A-BC04-DA8F25D86619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K17" authorId="2" shapeId="0" xr:uid="{E6DA989C-9184-4654-B726-CBF2A4D2C452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enviaron Word.</t>
        </r>
      </text>
    </comment>
    <comment ref="P17" authorId="1" shapeId="0" xr:uid="{61CFDA49-7ECC-40A1-B273-2CF6225FE98E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F18" authorId="1" shapeId="0" xr:uid="{2908E931-4790-4B6A-9594-82BFF0404F19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No se conectó a la clase.
Envió la página completa por el correo del Moodle (22/09/21)</t>
        </r>
      </text>
    </comment>
    <comment ref="M18" authorId="2" shapeId="0" xr:uid="{C655E788-7039-4C68-80A3-DC60B7F888CA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hizo el punto 6 (22/09/21)</t>
        </r>
      </text>
    </comment>
    <comment ref="K19" authorId="1" shapeId="0" xr:uid="{002D5AB4-189D-4ADD-ABCB-6A7E387FB1D0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Resolvió las páginas en el cuaderno. No presentó en Word. OK REVISADO</t>
        </r>
      </text>
    </comment>
    <comment ref="K20" authorId="1" shapeId="0" xr:uid="{855B0A42-63EF-4B19-8DC1-F5A6D7063EB4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han enviado el Word porque no han podido acceder a los videos (03/11/21)</t>
        </r>
      </text>
    </comment>
    <comment ref="E21" authorId="1" shapeId="0" xr:uid="{C2FA0C5B-DF48-45F2-9220-ED7A68E34BB2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Estuvo fuera del salón una parte de la clase, y cuando regresó, no quería trabajar en clase. Logré que trabajara un poco.</t>
        </r>
      </text>
    </comment>
    <comment ref="F21" authorId="1" shapeId="0" xr:uid="{CE71CADF-8309-4A3B-9C80-7E0F2BC0DEEB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No quiso trabajar en clase. Sólo quería dormir.</t>
        </r>
      </text>
    </comment>
    <comment ref="K21" authorId="2" shapeId="0" xr:uid="{6CDA05EB-353A-48CE-982D-3B956B7B69BE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presentó el proyecto. Le di una semana más para presentar algo, pero no lo hizo. (03/11/21)</t>
        </r>
      </text>
    </comment>
    <comment ref="P21" authorId="1" shapeId="0" xr:uid="{0624F93C-0B2C-440F-BF02-521AE099CAA0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M22" authorId="1" shapeId="0" xr:uid="{E76D6DD8-41E2-4ACA-8A60-6A4EC3A9458D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Presentó estas páginas (08/11/21)</t>
        </r>
      </text>
    </comment>
    <comment ref="N22" authorId="1" shapeId="0" xr:uid="{EBEB9EA2-99DA-41B2-B6B8-20AA5EA2E3CA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Presentó estas páginas (08/11/21)</t>
        </r>
      </text>
    </comment>
    <comment ref="O22" authorId="1" shapeId="0" xr:uid="{C7D8FDCF-6783-48FC-BE77-E2F286A7FA64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Nota original 2.8 - Recuperó (05/10/21)</t>
        </r>
      </text>
    </comment>
    <comment ref="M23" authorId="1" shapeId="0" xr:uid="{8709A87D-5443-4454-96A0-D44952CB50B6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trajo el libro</t>
        </r>
      </text>
    </comment>
    <comment ref="N23" authorId="1" shapeId="0" xr:uid="{0F0103BC-716D-4C59-9320-4CC28EEE8635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trajo el libro</t>
        </r>
      </text>
    </comment>
    <comment ref="O23" authorId="2" shapeId="0" xr:uid="{633471AD-6599-45D2-A4A7-5636C9B795EF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presentó el quiz.</t>
        </r>
      </text>
    </comment>
    <comment ref="K24" authorId="1" shapeId="0" xr:uid="{81E3C4D1-D289-4079-9541-C1E9639113E1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han enviado el Word porque no han podido acceder a los videos (03/11/21)</t>
        </r>
      </text>
    </comment>
    <comment ref="K25" authorId="2" shapeId="0" xr:uid="{EC5459B8-6FB2-450C-9243-8D3F3C83DC72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enviaron Word.</t>
        </r>
      </text>
    </comment>
    <comment ref="M25" authorId="1" shapeId="0" xr:uid="{46ED4324-7E03-43F1-9341-7AF575A956B0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No está resuelta al momento de revisar el libro. Mirar el link.
Tiene resueltos 3 puntos de los 6. (21/10/21)</t>
        </r>
      </text>
    </comment>
    <comment ref="O25" authorId="1" shapeId="0" xr:uid="{8F99C5B9-3CFB-4668-8BEE-03AA30FA5F7E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Se le cayó el internet.</t>
        </r>
      </text>
    </comment>
    <comment ref="P25" authorId="1" shapeId="0" xr:uid="{904D3248-0791-41FE-B822-07B3AFD17336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E26" authorId="1" shapeId="0" xr:uid="{FFDE5016-C26B-46BF-88DC-05145A17E350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Se desconectó unos minutos después de haber empezado la clase. Luego no volvió.</t>
        </r>
      </text>
    </comment>
    <comment ref="F26" authorId="1" shapeId="0" xr:uid="{79E0D002-8C42-4144-9149-DEF108810942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Se desconectó varias veces y luego no volvió.</t>
        </r>
      </text>
    </comment>
    <comment ref="K26" authorId="2" shapeId="0" xr:uid="{7AAB539E-D76A-403B-BF05-B485805E0A10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enviaron Word.</t>
        </r>
      </text>
    </comment>
    <comment ref="O26" authorId="1" shapeId="0" xr:uid="{8111148C-281B-4613-BA10-45EB2DC02E65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Se le fue el internet y no pudo terminar.</t>
        </r>
      </text>
    </comment>
    <comment ref="P26" authorId="1" shapeId="0" xr:uid="{E6D567C6-8330-41C3-8201-96262A686BE7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O27" authorId="1" shapeId="0" xr:uid="{24929355-3BFE-47E6-9E02-131AD476C992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Está de viaje. No ha presentado el quiz.</t>
        </r>
      </text>
    </comment>
    <comment ref="E28" authorId="1" shapeId="0" xr:uid="{5C21886A-FB64-426B-A860-89AA411DB220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Le pedí mostrar lo trabajado en clase y no respondió nada. Le repetí la pregunta varias veces y no hubo respuesta de su parte (se veía conectada, pero solo no respondía)</t>
        </r>
      </text>
    </comment>
    <comment ref="K28" authorId="2" shapeId="0" xr:uid="{4A7EE983-F32B-4462-8BCB-216D065F9483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enviaron Word.</t>
        </r>
      </text>
    </comment>
    <comment ref="P28" authorId="1" shapeId="0" xr:uid="{F46FE4ED-9A50-46B9-AEA7-DF973E0D9A64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Stephany Franco</author>
    <author>StephanyFG</author>
    <author>123</author>
  </authors>
  <commentList>
    <comment ref="F5" authorId="0" shapeId="0" xr:uid="{E2962DE5-3797-4B4D-A834-7B8CD5EFFF56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Pages 82-83</t>
        </r>
      </text>
    </comment>
    <comment ref="G5" authorId="0" shapeId="0" xr:uid="{AD65B765-C7C9-46F7-A8F2-8558ED7E50C8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Second Conditional sentences</t>
        </r>
      </text>
    </comment>
    <comment ref="O5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StephanyFG:</t>
        </r>
        <r>
          <rPr>
            <sz val="9"/>
            <color indexed="81"/>
            <rFont val="Tahoma"/>
            <family val="2"/>
          </rPr>
          <t xml:space="preserve">
Questions about the movie +</t>
        </r>
      </text>
    </comment>
    <comment ref="P5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StephanyFG:</t>
        </r>
        <r>
          <rPr>
            <sz val="9"/>
            <color indexed="81"/>
            <rFont val="Tahoma"/>
            <family val="2"/>
          </rPr>
          <t xml:space="preserve">
Time clause sentence + /</t>
        </r>
      </text>
    </comment>
    <comment ref="K8" authorId="0" shapeId="0" xr:uid="{6B5386BA-86BE-4A5F-BE1F-1B895BC615A3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Copia de un compañero: Juan Díaz, Lesly Vinasco
Realizó trabajo de reflexión con Coordinación de Convivencia y realizó trabajo extra de inglés. (24/10/21)</t>
        </r>
      </text>
    </comment>
    <comment ref="L8" authorId="0" shapeId="0" xr:uid="{B7BEBF79-40FC-4FC4-8ACD-E0EE3A4F33A3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Copia de un compañero: Juan Díaz, Lesly Vinasco
Realizó trabajo de reflexión con Coordinación de Convivencia y realizó trabajo extra de inglés. (24/10/21)</t>
        </r>
      </text>
    </comment>
    <comment ref="N9" authorId="0" shapeId="0" xr:uid="{29F57807-3D51-4632-800B-DE2B3C0A05A5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I11" authorId="0" shapeId="0" xr:uid="{C360A3EE-13C0-42CA-8E62-B07C1E461D12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Dice Mariana que lo enviaron por el correo REVISAR
Revisé, pero no hay ningún archivo de Word de ninguna de las del grupo. (03/11/21)</t>
        </r>
      </text>
    </comment>
    <comment ref="N11" authorId="0" shapeId="0" xr:uid="{8005EDA6-D638-438F-9DB8-4272F3556BE5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N13" authorId="0" shapeId="0" xr:uid="{937FF016-7B6C-4064-9C77-A0A9ADEA4FB8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V13" authorId="2" shapeId="0" xr:uid="{652CD901-8FBF-448D-9324-B36896AC688F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Nota asignada mientras el estudiante da su nota.</t>
        </r>
      </text>
    </comment>
    <comment ref="I14" authorId="0" shapeId="0" xr:uid="{FD0774E6-7827-4996-A465-70EE1DC73643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Dice Mariana que lo enviaron por el correo REVISAR
Revisé, pero no hay ningún archivo de Word de ninguna de las del grupo. (03/11/21)</t>
        </r>
      </text>
    </comment>
    <comment ref="I15" authorId="0" shapeId="0" xr:uid="{6AFE5D26-278C-4B9B-BDD5-F8F9650BEC8D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Dice Mariana que lo enviaron por el correo REVISAR
Revisé, pero no hay ningún archivo de Word de ninguna de las del grupo. (03/11/21)</t>
        </r>
      </text>
    </comment>
    <comment ref="N15" authorId="0" shapeId="0" xr:uid="{AC11EF6E-D1DF-409B-884C-67C55FD6CB16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K16" authorId="0" shapeId="0" xr:uid="{6DAD9E71-1B70-4FAE-8661-7FF744A00541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Copia de un compañero: Samuel Ardila, Lesly Vinasco
Realizó trabajo de reflexión con Coordinación de Convivencia y realizó trabajo extra de inglés. (24/10/21) PENDIENTE VIDEO. DICE QUE LO ENVÍA HOY 3 DE NOVIEMBRE EN LA TARDE POR EL CORREO DE LA PLATAFORMA.</t>
        </r>
      </text>
    </comment>
    <comment ref="L16" authorId="0" shapeId="0" xr:uid="{D40818B6-B219-42E4-80F4-CECA5ED410E3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Copia de un compañero: Samuel Ardila, Lesly Vinasco
Realizó trabajo de reflexión con Coordinación de Convivencia y realizó trabajo extra de inglés. (24/10/21) PENDIENTE VIDEO.</t>
        </r>
      </text>
    </comment>
    <comment ref="N17" authorId="0" shapeId="0" xr:uid="{06E65846-1188-433C-8C56-0C4DEA1FE9A1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E19" authorId="2" shapeId="0" xr:uid="{DBF5A580-045E-4579-9887-742DE8521EF7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envió las páginas 70-71 (24/09/21)
Envió las páginas 70-71 pero le faltó el punto 6 (28/09/21)</t>
        </r>
      </text>
    </comment>
    <comment ref="N20" authorId="0" shapeId="0" xr:uid="{18E8F664-3221-4052-8748-3C18CBA84C91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N21" authorId="0" shapeId="0" xr:uid="{FC258363-789A-41CD-A236-55F9C483287B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E23" authorId="2" shapeId="0" xr:uid="{73E07E9C-0B11-4639-930E-48BC9CFDB3FB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envió las páginas 70-71 (24/09/21)
Envió las páginas faltantes (28/09/21)</t>
        </r>
      </text>
    </comment>
    <comment ref="V23" authorId="2" shapeId="0" xr:uid="{EB7253ED-94A9-4F76-86F1-1388B9F03AC8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Nota asignada mientras el estudiante da su nota.</t>
        </r>
      </text>
    </comment>
    <comment ref="E24" authorId="2" shapeId="0" xr:uid="{2E027907-EA91-4303-AEB4-0AA7E3C52FEE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entregó el libro cuando la profesora lo solicitó.</t>
        </r>
      </text>
    </comment>
    <comment ref="I24" authorId="2" shapeId="0" xr:uid="{8C4F143A-1E1E-4687-B4D3-AB947A8D43E3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presentó el proyecto (03/11/21)</t>
        </r>
      </text>
    </comment>
    <comment ref="N24" authorId="0" shapeId="0" xr:uid="{95C43240-AF2E-4F22-B7D6-E1E9A8CAC1D1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E25" authorId="2" shapeId="0" xr:uid="{0D4F3029-E9F9-4BFA-968C-A51006CEA013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ha enviado las páginas que hemos trabajado de la unidad 6.</t>
        </r>
      </text>
    </comment>
    <comment ref="N25" authorId="0" shapeId="0" xr:uid="{1837C994-815F-423E-A8D8-936A71B45342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F26" authorId="2" shapeId="0" xr:uid="{DF4D79B9-0782-46A1-BF89-754F4DEF1357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Hizo 2 puntos de 3. (24/10/21)</t>
        </r>
      </text>
    </comment>
    <comment ref="N26" authorId="0" shapeId="0" xr:uid="{087BFF15-2D7D-40D1-80ED-45C4D93850F2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I27" authorId="2" shapeId="0" xr:uid="{63B1DCE2-B1D9-46BA-91C7-2F0620FDDC8C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presentó el proyecto (03/11/21)</t>
        </r>
      </text>
    </comment>
    <comment ref="N27" authorId="0" shapeId="0" xr:uid="{0646B46E-1D88-475E-A6F3-FDB7086C0082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N28" authorId="0" shapeId="0" xr:uid="{35190D1C-1C9A-4F85-AEEC-5651D39FB266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N29" authorId="0" shapeId="0" xr:uid="{A33CBC8A-2127-4ECB-B913-27DA1E0B3F31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V29" authorId="2" shapeId="0" xr:uid="{F6647E0D-218E-47B1-8591-22A07ACF8FF0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Nota asignada mientras el estudiante da su nota.</t>
        </r>
      </text>
    </comment>
    <comment ref="K30" authorId="2" shapeId="0" xr:uid="{394EEFBF-C1B9-483F-A074-5E720D6CC008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Presentó esta tarea (05/11/21)</t>
        </r>
      </text>
    </comment>
    <comment ref="L30" authorId="2" shapeId="0" xr:uid="{13FAB49B-85EA-44D7-B1A3-952D3F54CE9B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Presentó esta tarea (05/11/21)</t>
        </r>
      </text>
    </comment>
    <comment ref="N30" authorId="0" shapeId="0" xr:uid="{E96C9363-70F5-4817-BF93-10139EA07D42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N31" authorId="0" shapeId="0" xr:uid="{52E84279-8A44-4F33-953A-4340670613C0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N32" authorId="0" shapeId="0" xr:uid="{51A7940A-26F0-424D-82FA-92A920275A85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N33" authorId="0" shapeId="0" xr:uid="{6692566B-FC97-4560-8033-CDBAAD360720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E34" authorId="2" shapeId="0" xr:uid="{F045D25E-F6B0-4DC6-9107-F8E1D614D0F1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ha enviado las páginas que hemos trabajado de la unidad 6.</t>
        </r>
      </text>
    </comment>
    <comment ref="I34" authorId="2" shapeId="0" xr:uid="{D2161B04-55C2-4F4E-AB49-A018ADDDF700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presentó el proyecto (03/11/21)</t>
        </r>
      </text>
    </comment>
    <comment ref="M34" authorId="2" shapeId="0" xr:uid="{2AC972E5-C321-4F05-BA98-7CE4AF1CFDAD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Lo presentó después de la fecha. (13/10/21)</t>
        </r>
      </text>
    </comment>
    <comment ref="N34" authorId="0" shapeId="0" xr:uid="{498D7AEB-BDC4-4887-A45A-8258ACCF4662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F35" authorId="2" shapeId="0" xr:uid="{860DC36D-9930-4404-B6FF-C306325AF790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Sólo trabajó el punto 2. No hizo los puntos 3 y 4. (24/10/21)</t>
        </r>
      </text>
    </comment>
    <comment ref="I35" authorId="2" shapeId="0" xr:uid="{FC42BCE9-702B-4772-A6B8-E5EFD560A40F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presentó el proyecto (03/11/21)</t>
        </r>
      </text>
    </comment>
    <comment ref="L35" authorId="2" shapeId="0" xr:uid="{34068824-F328-4124-9792-A19C3018B3B2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Tiene hechos los puntos 3 y 4. Le faltaron los puntos 1 y 2. (24/10/21)</t>
        </r>
      </text>
    </comment>
    <comment ref="V35" authorId="2" shapeId="0" xr:uid="{6963F681-5A74-43B6-9EC8-1E8A19C24A54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Nota asignada mientras el estudiante da su nota.</t>
        </r>
      </text>
    </comment>
    <comment ref="N37" authorId="0" shapeId="0" xr:uid="{24AD05E6-8DB6-448C-B8F0-BB4F50DDED55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V37" authorId="2" shapeId="0" xr:uid="{443FD738-E485-4862-93FF-DB9B8718DA8D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Nota asignada mientras el estudiante da su nota.</t>
        </r>
      </text>
    </comment>
    <comment ref="K38" authorId="0" shapeId="0" xr:uid="{34903E06-BB85-498E-9B62-8DAD6457F42D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Copia de un compañero: Samuel Ardila, Santiago Díaz
Realizó trabajo de reflexión con Coordinación de Convivencia y realizó trabajo extra de inglés. (06/10/21)</t>
        </r>
      </text>
    </comment>
    <comment ref="L38" authorId="0" shapeId="0" xr:uid="{50A61590-FDB0-44E5-BCD6-EE859E5ADA15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Copia de un compañero: Samuel Ardila, Santiago Díaz
Realizó trabajo de reflexión con Coordinación de Convivencia y realizó trabajo extra de inglés. (06/10/21)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StephanyFG</author>
    <author>Stephany Franco</author>
    <author>123</author>
  </authors>
  <commentList>
    <comment ref="E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StephanyFG:</t>
        </r>
        <r>
          <rPr>
            <sz val="9"/>
            <color indexed="81"/>
            <rFont val="Tahoma"/>
            <family val="2"/>
          </rPr>
          <t xml:space="preserve">
Page 62 - First Conditional (sentences) 5+; </t>
        </r>
      </text>
    </comment>
    <comment ref="I5" authorId="1" shapeId="0" xr:uid="{25FBF653-FC77-4E0A-927A-321E3FEB640A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Phrases about Obligation and Prohibition.</t>
        </r>
      </text>
    </comment>
    <comment ref="R5" authorId="1" shapeId="0" xr:uid="{F01D2D98-5CD9-4EB2-8F2D-1FD708DBCE79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Pag 60 / Traducción y comprensión de actividades *</t>
        </r>
      </text>
    </comment>
    <comment ref="S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StephanyFG:</t>
        </r>
        <r>
          <rPr>
            <sz val="9"/>
            <color indexed="81"/>
            <rFont val="Tahoma"/>
            <family val="2"/>
          </rPr>
          <t xml:space="preserve">
Participación en actividades</t>
        </r>
      </text>
    </comment>
    <comment ref="V5" authorId="1" shapeId="0" xr:uid="{3D890303-4655-409B-A626-68E717E61E95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Sentences obligations and prohibitions.</t>
        </r>
      </text>
    </comment>
    <comment ref="W6" authorId="1" shapeId="0" xr:uid="{7BA4A7DC-B11D-4788-8495-62794FB2BCAD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Participó en el canto y movimientos de la canción Father Abraham</t>
        </r>
      </text>
    </comment>
    <comment ref="Z6" authorId="2" shapeId="0" xr:uid="{B2B4E795-4487-42EA-A419-4CD180AD7C3D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Nota asignada mientras el estudiante da su nota.</t>
        </r>
      </text>
    </comment>
    <comment ref="Z7" authorId="2" shapeId="0" xr:uid="{E311DEA1-FF41-44E8-BB49-F5BF950C0C04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Nota asignada mientras el estudiante da su nota.</t>
        </r>
      </text>
    </comment>
    <comment ref="G8" authorId="2" shapeId="0" xr:uid="{1F5B3320-EF3F-4894-8740-6DA28B6FAB45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presentó lo trabajado en clase hasta la fecha (14/10/21)</t>
        </r>
      </text>
    </comment>
    <comment ref="H8" authorId="2" shapeId="0" xr:uid="{E5903B82-720E-4680-80BE-C82D159947F4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ha enviado las páginas trabajadas, ni ha presentado su libro con las páginas resueltas.</t>
        </r>
      </text>
    </comment>
    <comment ref="P8" authorId="1" shapeId="0" xr:uid="{14A15C10-5604-4C3A-A435-F2803D5A47A3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Nota original 2,0
Presentó recuperación (06/10/21)</t>
        </r>
      </text>
    </comment>
    <comment ref="Q8" authorId="1" shapeId="0" xr:uid="{93BB2534-90F3-4544-924E-6E11DC37AA4A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W8" authorId="1" shapeId="0" xr:uid="{D1FB5EF7-437D-4A7F-9BEF-D2218BF3697D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Participó en el canto y movimientos de la canción Father Abraham</t>
        </r>
      </text>
    </comment>
    <comment ref="Z8" authorId="2" shapeId="0" xr:uid="{3876DC25-8BE2-470D-83C3-87DA90E286E1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Nota asignada mientras el estudiante da su nota.</t>
        </r>
      </text>
    </comment>
    <comment ref="H9" authorId="2" shapeId="0" xr:uid="{9B5CC679-9091-4489-B80A-1824A3106C11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Pag 62 OK (22/09/21)
Envió video con todo lo trabajado (28/09/21)</t>
        </r>
      </text>
    </comment>
    <comment ref="Z9" authorId="2" shapeId="0" xr:uid="{83469483-F395-4D61-A74A-EE072D2B7E6F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Nota asignada mientras el estudiante da su nota.</t>
        </r>
      </text>
    </comment>
    <comment ref="Q10" authorId="1" shapeId="0" xr:uid="{A4463FA1-6F17-4D23-BEFB-23A3FA82E4A6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terminó los puntos asignados y algunos quedaron con porcentaje muy bajo. (03/11/21)</t>
        </r>
      </text>
    </comment>
    <comment ref="Z10" authorId="2" shapeId="0" xr:uid="{9E865B76-7AE6-4D7B-A688-08ECC978FE12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Nota asignada mientras el estudiante da su nota.</t>
        </r>
      </text>
    </comment>
    <comment ref="N11" authorId="2" shapeId="0" xr:uid="{1DBA708C-2444-42FF-A09D-FB805877C075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Le faltó hacer el punto 1. (24/10/21)</t>
        </r>
      </text>
    </comment>
    <comment ref="P11" authorId="1" shapeId="0" xr:uid="{41253029-8738-4092-A486-77D0AAA4A1E9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Tenía el internet caído y no se pudo conectar.
Presentó de forma presencial (06/10/21)</t>
        </r>
      </text>
    </comment>
    <comment ref="Q11" authorId="1" shapeId="0" xr:uid="{DE36C0C9-BA98-4D7A-A8F2-B0727B4CCA66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W11" authorId="1" shapeId="0" xr:uid="{92E910B7-FFBE-432F-89D9-D2E82AB9E90F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Participó en el canto y movimientos de la canción Father Abraham</t>
        </r>
      </text>
    </comment>
    <comment ref="P12" authorId="1" shapeId="0" xr:uid="{44B7EA8F-91FA-4C27-93AA-D086170F9063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No asistió el día del quiz (05/10/21)
Se aplicó presencial, pero tampoco vino a clase (06/10/21)</t>
        </r>
      </text>
    </comment>
    <comment ref="U12" authorId="2" shapeId="0" xr:uid="{C21B099E-90E4-48AE-BE69-D7698A39D6E1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asiste a clase. No tiene nota de participación.</t>
        </r>
      </text>
    </comment>
    <comment ref="G13" authorId="2" shapeId="0" xr:uid="{BDCF4B63-C313-44DF-BE8D-BC246F64E604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ha enviado las páginas que hemos trabajado en clase de la unidad 5</t>
        </r>
      </text>
    </comment>
    <comment ref="H13" authorId="2" shapeId="0" xr:uid="{ED9CF867-D93E-4D93-86C6-C9EC5D292809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ha enviado las páginas trabajadas, ni ha presentado su libro con las páginas resueltas.</t>
        </r>
      </text>
    </comment>
    <comment ref="L13" authorId="1" shapeId="0" xr:uid="{89745A4F-0D9E-49AA-8D5E-56FB4BBF46F0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Envía el Word hoy. (03/11/21)</t>
        </r>
      </text>
    </comment>
    <comment ref="N13" authorId="1" shapeId="0" xr:uid="{03863E13-1A95-429A-A4B2-3D24C5F811D7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tiene resueltos los puntos 1 y 2.</t>
        </r>
      </text>
    </comment>
    <comment ref="Z13" authorId="2" shapeId="0" xr:uid="{EE620148-2700-4893-B363-206CBDF0059B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Nota asignada mientras el estudiante da su nota.</t>
        </r>
      </text>
    </comment>
    <comment ref="G14" authorId="2" shapeId="0" xr:uid="{83C16FD0-574F-4A9F-8B74-D356400F376C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ha enviado las páginas que hemos trabajado en clase de la unidad 5</t>
        </r>
      </text>
    </comment>
    <comment ref="H14" authorId="2" shapeId="0" xr:uid="{014025B7-0F88-4770-8269-29C0435D2F5B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ha enviado las páginas trabajadas, ni ha presentado su libro con las páginas resueltas.</t>
        </r>
      </text>
    </comment>
    <comment ref="P14" authorId="1" shapeId="0" xr:uid="{D81EF8C2-2DA8-439F-9D0E-7F853D6E9367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No tuvo manera de acceder a los link para ingresar.
Presentó nuevamente (06/10/21)</t>
        </r>
      </text>
    </comment>
    <comment ref="Q14" authorId="1" shapeId="0" xr:uid="{D0C73ED9-22C7-4736-9232-FEE43B16A701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Z14" authorId="2" shapeId="0" xr:uid="{293920F9-32C7-49A5-B694-AA4509ADB303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Nota asignada mientras el estudiante da su nota.</t>
        </r>
      </text>
    </comment>
    <comment ref="J15" authorId="1" shapeId="0" xr:uid="{E48F148C-D6D7-4F48-AEA7-9C79DB04B53A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Tiene puntos por corregir y le falta desarrollar 1 punto. (03/11/21)</t>
        </r>
      </text>
    </comment>
    <comment ref="P16" authorId="1" shapeId="0" xr:uid="{6D778775-2B46-4661-8EA0-6D52FD3BECA4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Dice que no se acuerda por qué no entró a la clase. Por ende tampoco presentó el quiz.
Presentó recuperación, pero no pasó. (06/10/21)</t>
        </r>
      </text>
    </comment>
    <comment ref="Q16" authorId="1" shapeId="0" xr:uid="{FBB7BAA5-E39D-4638-8C8B-D12BB2C1E8CB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S16" authorId="1" shapeId="0" xr:uid="{A2FCAD5C-7386-4B78-B6DF-8574F6BC8352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Activity 5 (pag 67) Conversation with a partner +</t>
        </r>
      </text>
    </comment>
    <comment ref="Z16" authorId="2" shapeId="0" xr:uid="{869564A6-5877-456E-8E29-29F7D4150122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Nota asignada mientras el estudiante da su nota.</t>
        </r>
      </text>
    </comment>
    <comment ref="H17" authorId="2" shapeId="0" xr:uid="{83E61846-E11F-4C78-9747-7BFF90277C18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ha enviado las páginas trabajadas, ni ha presentado su libro con las páginas resueltas.</t>
        </r>
      </text>
    </comment>
    <comment ref="L17" authorId="2" shapeId="0" xr:uid="{DB79B515-5416-4D08-ACF2-6C41DF2F9C61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presentó el proyecto. Le di una semana más para presentar algo, pero no lo hizo. (03/11/21)</t>
        </r>
      </text>
    </comment>
    <comment ref="P17" authorId="1" shapeId="0" xr:uid="{4CACF397-EAAC-4F77-BF22-352A72BA138C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No entró a la clase de ayer porque "no estaba en casa" pero no tiene excusa de sus padres.
Volvió a presentarlo como recuperación (06/10/21), pero NO recuperó.</t>
        </r>
      </text>
    </comment>
    <comment ref="Q17" authorId="1" shapeId="0" xr:uid="{0E251C0D-84DB-4672-A27A-171E60A4A98B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Z17" authorId="2" shapeId="0" xr:uid="{C927BC8B-C376-4F67-A5E8-CFA2B97A28D4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Nota asignada mientras el estudiante da su nota.</t>
        </r>
      </text>
    </comment>
    <comment ref="L18" authorId="1" shapeId="0" xr:uid="{50D6E5BB-45F6-4965-9CC7-5B43CFD01C2D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lo han enviado (03/11/21)</t>
        </r>
      </text>
    </comment>
    <comment ref="P18" authorId="1" shapeId="0" xr:uid="{765A4F20-37F0-4285-A5C7-ECC67D399E3A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Dice que no pudo conectarse porque tenía que ir a visitar a su abuelo al hospital, pero no tiene excusa firmada de sus padres.
Presentó recuperación, pero no pasó. (06/10/21)</t>
        </r>
      </text>
    </comment>
    <comment ref="Q18" authorId="1" shapeId="0" xr:uid="{528ECC8F-11F0-40AD-A6AF-068356E8B939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W18" authorId="1" shapeId="0" xr:uid="{764B0730-D7B1-4E0C-AB87-08337D6B8D8F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Participó en el canto y movimientos de la canción Father Abraham</t>
        </r>
      </text>
    </comment>
    <comment ref="J19" authorId="2" shapeId="0" xr:uid="{91681181-88F3-4BE8-AD36-AC607709EF20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Solo trabajó 3 de los 6 puntos. (24/10/21)</t>
        </r>
      </text>
    </comment>
    <comment ref="L19" authorId="1" shapeId="0" xr:uid="{1B6729FC-2E31-4B6D-89AF-336F02ECC3DC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lo han enviado (03/11/21)</t>
        </r>
      </text>
    </comment>
    <comment ref="N19" authorId="2" shapeId="0" xr:uid="{7E8A0FEE-988F-4CA2-8F4B-9B33AF1F3E96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Sólo trabajó los puntos 3 y 4. Puntos 1 y 2 están sin desarollar. (24/10/21)</t>
        </r>
      </text>
    </comment>
    <comment ref="O19" authorId="2" shapeId="0" xr:uid="{2EED06C1-CAD4-416E-A494-F0E0016B7604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No desarrolló los puntos 4 y 5 (24/10/21)</t>
        </r>
      </text>
    </comment>
    <comment ref="Q19" authorId="1" shapeId="0" xr:uid="{2086BFF8-B270-4025-95BB-A1A90DD0A106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W19" authorId="1" shapeId="0" xr:uid="{56A282CF-5A1B-4CF1-B649-D2ACC13B6348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Participó en el canto y movimientos de la canción Father Abraham</t>
        </r>
      </text>
    </comment>
    <comment ref="Z19" authorId="2" shapeId="0" xr:uid="{E0D00BB1-A741-4E59-93EB-C50E6B5090A9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Nota asignada mientras el estudiante da su nota.</t>
        </r>
      </text>
    </comment>
    <comment ref="S20" authorId="1" shapeId="0" xr:uid="{623B5721-540D-4F0F-A3A2-D4EDDB65C08A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Activity 5 (pag 67) Conversation with a partner +</t>
        </r>
      </text>
    </comment>
    <comment ref="W20" authorId="1" shapeId="0" xr:uid="{1258C619-D64B-48F5-9C7F-A62BB2174105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Participó en el canto y movimientos de la canción Father Abraham</t>
        </r>
      </text>
    </comment>
    <comment ref="Z20" authorId="2" shapeId="0" xr:uid="{B17590EF-2683-4432-AA3D-8AC7B9835C92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Nota asignada mientras el estudiante da su nota.</t>
        </r>
      </text>
    </comment>
    <comment ref="W22" authorId="1" shapeId="0" xr:uid="{F8D01006-5628-427B-ADC3-A517755316BB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Participó en el canto y movimientos de la canción Father Abraham</t>
        </r>
      </text>
    </comment>
    <comment ref="J23" authorId="1" shapeId="0" xr:uid="{F3703F90-6A68-44EB-97E3-81C9EC418014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terminó. (03/11/21)</t>
        </r>
      </text>
    </comment>
    <comment ref="L23" authorId="1" shapeId="0" xr:uid="{A6F47C6B-122F-4151-B3F7-B0493DDFC8ED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Lo envía hoy 03/11/21</t>
        </r>
      </text>
    </comment>
    <comment ref="W23" authorId="1" shapeId="0" xr:uid="{C35B2817-2BA6-44B1-B76A-B69266F0998C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Participó en el canto y movimientos de la canción Father Abraham</t>
        </r>
      </text>
    </comment>
    <comment ref="E24" authorId="1" shapeId="0" xr:uid="{3CE79909-CCED-4D1A-9E85-8D53937BEF86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Pag 60 act 4</t>
        </r>
      </text>
    </comment>
    <comment ref="Z24" authorId="2" shapeId="0" xr:uid="{C89EA09B-55FB-4423-AF63-56BBFE0807F6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Nota asignada mientras el estudiante da su nota.</t>
        </r>
      </text>
    </comment>
    <comment ref="P25" authorId="1" shapeId="0" xr:uid="{D44A9688-F462-40B6-B1B2-7AAA2845FBDC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Se le cayó el internet.
Presentó de manera presencial (06/10/21)</t>
        </r>
      </text>
    </comment>
    <comment ref="W25" authorId="1" shapeId="0" xr:uid="{3E013B70-3D47-4C34-9E4F-AD88420492AC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Participó en el canto y movimientos de la canción Father Abraham</t>
        </r>
      </text>
    </comment>
    <comment ref="Z25" authorId="2" shapeId="0" xr:uid="{E9EBF856-24EB-41C2-82EF-21484C5F9B72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Nota asignada mientras el estudiante da su nota.</t>
        </r>
      </text>
    </comment>
    <comment ref="G26" authorId="2" shapeId="0" xr:uid="{570D29C2-E23F-40F0-99DA-BF1B53BFB23E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ha enviado las páginas trabajadas en la unidad 5</t>
        </r>
      </text>
    </comment>
    <comment ref="H26" authorId="2" shapeId="0" xr:uid="{78C2515A-FFAC-4E19-B0FE-5422ED4A8E8B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Pag 62 OK (22/09/21)
Falta que envíe el resto de las páginas de la unidad 6</t>
        </r>
      </text>
    </comment>
    <comment ref="W26" authorId="1" shapeId="0" xr:uid="{1D6DE7DF-05B5-48F8-B5B9-BCEE2CF90873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Participó en el canto y movimientos de la canción Father Abraham</t>
        </r>
      </text>
    </comment>
    <comment ref="Z26" authorId="2" shapeId="0" xr:uid="{CDD7784F-E797-4A6E-B19B-47E41F0C51AE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Nota asignada mientras el estudiante da su nota.</t>
        </r>
      </text>
    </comment>
    <comment ref="L27" authorId="1" shapeId="0" xr:uid="{084DF099-8FFF-45D2-A909-8AF944C5098A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Hoy envía el Word del proyecto. (03/11/21)</t>
        </r>
      </text>
    </comment>
    <comment ref="O27" authorId="1" shapeId="0" xr:uid="{5546E711-B25B-4F76-8679-BC019F538BFB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Ok (03/11/21)</t>
        </r>
      </text>
    </comment>
    <comment ref="Q27" authorId="1" shapeId="0" xr:uid="{3C0BDDD8-30D3-4C01-87CF-D7F1E78C9CE1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W28" authorId="1" shapeId="0" xr:uid="{33F3E7A3-A2BC-418D-BE88-D821C39FC775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Participó en el canto y movimientos de la canción Father Abraham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StephanyFG</author>
    <author>Stephany Franco</author>
    <author>123</author>
  </authors>
  <commentList>
    <comment ref="E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StephanyFG:</t>
        </r>
        <r>
          <rPr>
            <sz val="9"/>
            <color indexed="81"/>
            <rFont val="Tahoma"/>
            <family val="2"/>
          </rPr>
          <t xml:space="preserve">
Third Conditional - Sentences + / Trabajo en clase Listening *</t>
        </r>
      </text>
    </comment>
    <comment ref="H5" authorId="1" shapeId="0" xr:uid="{DB73CF29-2233-4597-872B-1A3AF28D1509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Pag 70- act 2</t>
        </r>
      </text>
    </comment>
    <comment ref="L7" authorId="2" shapeId="0" xr:uid="{709995EE-CC59-45CD-8895-D1CD1C99533E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Tiene todos los puntos resueltos, pero son exactamente iguales a los de Pablo Hernández. (27/10/21)</t>
        </r>
      </text>
    </comment>
    <comment ref="M7" authorId="2" shapeId="0" xr:uid="{2754198F-250E-4451-B175-B58FAA4456D5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Nota original: 5,0
Tiene todos los puntos resueltos, pero son exactamente iguales a los de Pablo Hernández. (27/10/21)</t>
        </r>
      </text>
    </comment>
    <comment ref="E8" authorId="1" shapeId="0" xr:uid="{761C871F-251E-46C8-85E3-D7E21BAF73BB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No hizo las frases</t>
        </r>
      </text>
    </comment>
    <comment ref="O8" authorId="1" shapeId="0" xr:uid="{BBB98C85-3DD3-4A38-AB2B-7DCF49CBD7C8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O12" authorId="1" shapeId="0" xr:uid="{7011714D-CE3A-4249-AE05-053F93A59A85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O13" authorId="1" shapeId="0" xr:uid="{ACD07ADD-343F-4123-A26E-B3A7BA60E238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O14" authorId="1" shapeId="0" xr:uid="{AD4802EF-1E7F-43E0-AF72-936D5C1EB9BE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L16" authorId="2" shapeId="0" xr:uid="{2D644157-D25E-42FC-B208-EC7B0ABABF0E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Sólo realizó el punto 4. (24/10/21)</t>
        </r>
      </text>
    </comment>
    <comment ref="N16" authorId="2" shapeId="0" xr:uid="{147168FC-BCD6-4566-ADC4-2D6DC55141BC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Porcentaje muy bajo.</t>
        </r>
      </text>
    </comment>
    <comment ref="O16" authorId="1" shapeId="0" xr:uid="{B581D980-F3A4-415C-852A-C67E6665E565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L17" authorId="2" shapeId="0" xr:uid="{56341ED1-7B8A-4565-A677-F07D460C6EBB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Tiene todos los puntos resueltos, pero son exactamente iguales a los de Juan Benavidez. (27/10/21)</t>
        </r>
      </text>
    </comment>
    <comment ref="M17" authorId="2" shapeId="0" xr:uid="{8AE96D08-D8CF-4009-8960-41A79DB9CCF5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Tiene todos los puntos resueltos, pero son exactamente iguales a los de Juan Benavidez. (27/10/21)</t>
        </r>
      </text>
    </comment>
    <comment ref="G18" authorId="2" shapeId="0" xr:uid="{1103BF10-DFF5-49B1-8E9F-092F405FA19C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presentó el libro ni envió las páginas trabajadas en la unidad 5.</t>
        </r>
      </text>
    </comment>
    <comment ref="O18" authorId="1" shapeId="0" xr:uid="{94DDC855-5E0C-484B-98B1-E0A378AF807F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P19" authorId="1" shapeId="0" xr:uid="{CEA4B3AF-FDB2-4186-AC0A-924491174907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Puntos extra por recursividad (audio act 7 pag 62)</t>
        </r>
      </text>
    </comment>
    <comment ref="O21" authorId="1" shapeId="0" xr:uid="{947FA416-C967-4625-95C9-24D4CE7781E7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P22" authorId="1" shapeId="0" xr:uid="{2C15E591-3B1A-4D4C-B360-B2055ED5E339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Puntos extra por recursividad (audio act 7 pag 62)</t>
        </r>
      </text>
    </comment>
    <comment ref="N24" authorId="2" shapeId="0" xr:uid="{D8FA1A99-0FEA-4931-ACD4-9C727FFC97DE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presentó el quiz.</t>
        </r>
      </text>
    </comment>
    <comment ref="O24" authorId="1" shapeId="0" xr:uid="{3C53F014-3AF2-418B-ACBA-701C7298FD9F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L25" authorId="1" shapeId="0" xr:uid="{C9B43CBA-55B1-436C-9E5E-72525782A589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Le faltó el punto 2. Del punto 6 respondió una parte en español.</t>
        </r>
      </text>
    </comment>
    <comment ref="M25" authorId="2" shapeId="0" xr:uid="{D51BA737-61AD-46FD-BA70-DD315E1B12A2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Le faltó el punto 1.</t>
        </r>
      </text>
    </comment>
    <comment ref="O29" authorId="1" shapeId="0" xr:uid="{F2375238-D10F-4631-9ADE-9A0AF4D8B063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E30" authorId="1" shapeId="0" xr:uid="{9648B28F-E04F-4FBA-9FD9-497D1A1836E0}">
      <text>
        <r>
          <rPr>
            <b/>
            <sz val="9"/>
            <color indexed="81"/>
            <rFont val="Tahoma"/>
            <family val="2"/>
          </rPr>
          <t>Stephany Franco:</t>
        </r>
        <r>
          <rPr>
            <sz val="9"/>
            <color indexed="81"/>
            <rFont val="Tahoma"/>
            <family val="2"/>
          </rPr>
          <t xml:space="preserve">
Sólo hizo 1 oración y media de 4</t>
        </r>
      </text>
    </comment>
    <comment ref="O30" authorId="1" shapeId="0" xr:uid="{A8298B26-36D7-4A07-A7BA-C1F2AAA10F6B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123</author>
    <author>Stephany Franco</author>
  </authors>
  <commentList>
    <comment ref="J6" authorId="0" shapeId="0" xr:uid="{81B31C66-0BC4-45D5-9EE2-5974F6E559B4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El tema expuesto no corresponde al asignado.</t>
        </r>
      </text>
    </comment>
    <comment ref="L6" authorId="0" shapeId="0" xr:uid="{EB25705A-B3C1-4F93-A56C-EB28BE75F705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Envió la tarea 2 semanas después de la fecha de entrega</t>
        </r>
      </text>
    </comment>
    <comment ref="M6" authorId="0" shapeId="0" xr:uid="{90777354-7C70-49F0-94C4-8534D6F0CC19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Envió la tarea 2 semanas después de la fecha de entrega</t>
        </r>
      </text>
    </comment>
    <comment ref="J7" authorId="0" shapeId="0" xr:uid="{89568D2F-6F86-4F90-9720-E096D5A8ED69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presentó el proyecto. Le di una semana más para presentar algo (03/11/21)</t>
        </r>
      </text>
    </comment>
    <comment ref="J15" authorId="0" shapeId="0" xr:uid="{BE5CAD7A-515A-4559-8B50-F2743BEA5639}">
      <text>
        <r>
          <rPr>
            <b/>
            <sz val="9"/>
            <color indexed="81"/>
            <rFont val="Tahoma"/>
            <charset val="1"/>
          </rPr>
          <t>123:</t>
        </r>
        <r>
          <rPr>
            <sz val="9"/>
            <color indexed="81"/>
            <rFont val="Tahoma"/>
            <charset val="1"/>
          </rPr>
          <t xml:space="preserve">
El tema expuesto no corresponde al asignado.</t>
        </r>
      </text>
    </comment>
    <comment ref="P16" authorId="1" shapeId="0" xr:uid="{850F9BF2-C086-4C7D-9693-13ACC0AACD9F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P17" authorId="1" shapeId="0" xr:uid="{CED9D0A7-EE3F-41DF-B39D-35942B4E82CF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P20" authorId="1" shapeId="0" xr:uid="{D8F61599-E0D8-4334-BC64-7BB0A73C5FDE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J21" authorId="0" shapeId="0" xr:uid="{A01FACFE-B6CF-4B0B-90BA-D6265F0F4956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Presentó su exposición la semana siguiente. (02/11/21)</t>
        </r>
      </text>
    </comment>
    <comment ref="E22" authorId="0" shapeId="0" xr:uid="{2115E0F0-D118-4002-BF0E-DC49BE280DEA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Uno de los puntos del 8 no está resuelto.</t>
        </r>
      </text>
    </comment>
    <comment ref="P23" authorId="1" shapeId="0" xr:uid="{49910C39-FC3F-4C61-9A66-72217C493B04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
Le activé este laboratorio (04/11/21)</t>
        </r>
      </text>
    </comment>
    <comment ref="J24" authorId="0" shapeId="0" xr:uid="{42AB1686-C74F-45FE-90C7-7F8D229BCD36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vino el día que su grupo presentó su exposición. Aún no se ha reportado para presentar su parte (03/11/21)</t>
        </r>
      </text>
    </comment>
    <comment ref="J26" authorId="0" shapeId="0" xr:uid="{00C86434-451C-48AA-9BA2-106CAE067C66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No presentó el proyecto. Le di una semana más para presentar algo (03/11/21)</t>
        </r>
      </text>
    </comment>
    <comment ref="M26" authorId="1" shapeId="0" xr:uid="{A9804A3A-0177-410C-93E1-D37DA42F0B04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52 and 53 (Reading)</t>
        </r>
      </text>
    </comment>
    <comment ref="P26" authorId="1" shapeId="0" xr:uid="{13A25D9A-A646-4D65-8DC1-99021815BEB6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  <comment ref="E28" authorId="0" shapeId="0" xr:uid="{D4E2F6C6-AE8C-49F6-813B-818830D12233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Uno de los puntos del 8 no está resuelto.</t>
        </r>
      </text>
    </comment>
    <comment ref="P29" authorId="1" shapeId="0" xr:uid="{05021110-EEDD-432F-BDBF-942AF18255C6}">
      <text>
        <r>
          <rPr>
            <b/>
            <sz val="9"/>
            <color indexed="81"/>
            <rFont val="Tahoma"/>
            <charset val="1"/>
          </rPr>
          <t>Stephany Franco:</t>
        </r>
        <r>
          <rPr>
            <sz val="9"/>
            <color indexed="81"/>
            <rFont val="Tahoma"/>
            <charset val="1"/>
          </rPr>
          <t xml:space="preserve">
No desarrolló los puntos del laboratorio que se asignaron desde mediados de septiembre (03/11/21)</t>
        </r>
      </text>
    </comment>
  </commentList>
</comments>
</file>

<file path=xl/sharedStrings.xml><?xml version="1.0" encoding="utf-8"?>
<sst xmlns="http://schemas.openxmlformats.org/spreadsheetml/2006/main" count="1204" uniqueCount="532">
  <si>
    <t>PLANILLA DE NOTAS</t>
  </si>
  <si>
    <t>PROFESORA:</t>
  </si>
  <si>
    <t>STEPHANY FRANCO GARCÍA</t>
  </si>
  <si>
    <t>MATERIA:</t>
  </si>
  <si>
    <t>INGLÉS</t>
  </si>
  <si>
    <t>GRADO:</t>
  </si>
  <si>
    <t>SEXTO</t>
  </si>
  <si>
    <t>PERIODO:</t>
  </si>
  <si>
    <t>IV</t>
  </si>
  <si>
    <t>NOMBRES</t>
  </si>
  <si>
    <t>APELLIDOS</t>
  </si>
  <si>
    <t>Grupo</t>
  </si>
  <si>
    <t>Saber Hacer</t>
  </si>
  <si>
    <t>Saber Conocer</t>
  </si>
  <si>
    <t>Saber Ser</t>
  </si>
  <si>
    <t>Classwork 1.1</t>
  </si>
  <si>
    <t>Classwork 1.2</t>
  </si>
  <si>
    <t>Classwork 1 (General)</t>
  </si>
  <si>
    <t>Classwork 1.3 (Pag 70-71, 72, 74)</t>
  </si>
  <si>
    <t>Classwork (Sentences with ago)</t>
  </si>
  <si>
    <t>Classwork 2 (General)</t>
  </si>
  <si>
    <t>Project</t>
  </si>
  <si>
    <t>Bimestral</t>
  </si>
  <si>
    <t>Homework 1 (Regular and Irregular Verbs)</t>
  </si>
  <si>
    <t>Homework 1 (Pag 73)</t>
  </si>
  <si>
    <t>Homework 2 (Pag 76)</t>
  </si>
  <si>
    <t>Quiz</t>
  </si>
  <si>
    <t>Laboratory</t>
  </si>
  <si>
    <t>Participation 1.1</t>
  </si>
  <si>
    <t>Participation 1.2</t>
  </si>
  <si>
    <t>Puntos totales</t>
  </si>
  <si>
    <t>Participation 1 (TOTAL)</t>
  </si>
  <si>
    <t>Autoevaluación</t>
  </si>
  <si>
    <t>Alejandro</t>
  </si>
  <si>
    <t>Álvarez Taborda</t>
  </si>
  <si>
    <t>6B</t>
  </si>
  <si>
    <t>3+</t>
  </si>
  <si>
    <t>5*</t>
  </si>
  <si>
    <t>5+</t>
  </si>
  <si>
    <t>Mariana</t>
  </si>
  <si>
    <t>Arango Yarce</t>
  </si>
  <si>
    <t>2+</t>
  </si>
  <si>
    <t>4+</t>
  </si>
  <si>
    <t>+ * 2**</t>
  </si>
  <si>
    <t>Nota ingresada en Sintia</t>
  </si>
  <si>
    <t>Josue</t>
  </si>
  <si>
    <t>Arias Osorio</t>
  </si>
  <si>
    <t>6A</t>
  </si>
  <si>
    <t>5+ *2*2*2*5**</t>
  </si>
  <si>
    <t>3+ **</t>
  </si>
  <si>
    <t>Por actualizar o corregir en Sintia</t>
  </si>
  <si>
    <t>Isaac</t>
  </si>
  <si>
    <t>Bonilla Mesa</t>
  </si>
  <si>
    <t>.+ **2**</t>
  </si>
  <si>
    <t>Nota actualizada en Sintia</t>
  </si>
  <si>
    <t>Valentina</t>
  </si>
  <si>
    <t>Giraldo Tabares</t>
  </si>
  <si>
    <t>.+ ***</t>
  </si>
  <si>
    <t>Nota recuperada por registrar en Sintia</t>
  </si>
  <si>
    <t>Juan José</t>
  </si>
  <si>
    <t>Gómez Álvarez</t>
  </si>
  <si>
    <t>.+ *</t>
  </si>
  <si>
    <t>Nota recuperada y actualizada en Sintia</t>
  </si>
  <si>
    <t>Tomas</t>
  </si>
  <si>
    <t>Iglesias Gómez</t>
  </si>
  <si>
    <t>5+ **</t>
  </si>
  <si>
    <t>María José</t>
  </si>
  <si>
    <t>Landazabal Salazar</t>
  </si>
  <si>
    <t>*</t>
  </si>
  <si>
    <t>.+ **</t>
  </si>
  <si>
    <t>Samuel Josué</t>
  </si>
  <si>
    <t>Medina Cabezas</t>
  </si>
  <si>
    <t>+</t>
  </si>
  <si>
    <t>Danna Valeria</t>
  </si>
  <si>
    <t>Murillo Lazo</t>
  </si>
  <si>
    <t>Nikolas</t>
  </si>
  <si>
    <t>Patiño Batz</t>
  </si>
  <si>
    <t>+ 5+ * 2**</t>
  </si>
  <si>
    <t>Pinzón Muñoz</t>
  </si>
  <si>
    <t>+ *5**</t>
  </si>
  <si>
    <t>Shalomé</t>
  </si>
  <si>
    <t>Quintero Cano</t>
  </si>
  <si>
    <t>Samuel</t>
  </si>
  <si>
    <t>Ramírez Árias</t>
  </si>
  <si>
    <t>.+ * 2**5*5*</t>
  </si>
  <si>
    <t>2+ **</t>
  </si>
  <si>
    <t>Isabella</t>
  </si>
  <si>
    <t>Reyes Moreno</t>
  </si>
  <si>
    <t>Matías</t>
  </si>
  <si>
    <t>Restrepo Valencia</t>
  </si>
  <si>
    <t>Manuela</t>
  </si>
  <si>
    <t>Sánchez Martínez</t>
  </si>
  <si>
    <t>Tejada Quintero</t>
  </si>
  <si>
    <t>Miguel Ángel</t>
  </si>
  <si>
    <t>Zuluaga Arcila</t>
  </si>
  <si>
    <t>Groups for project</t>
  </si>
  <si>
    <t>21-22</t>
  </si>
  <si>
    <t xml:space="preserve">Danna </t>
  </si>
  <si>
    <t>CUARTO GRUPO</t>
  </si>
  <si>
    <t>18, 19, 20</t>
  </si>
  <si>
    <t>15, 16, 17</t>
  </si>
  <si>
    <t>12, 13, 14</t>
  </si>
  <si>
    <t>9, 10, 11</t>
  </si>
  <si>
    <t>7-8.</t>
  </si>
  <si>
    <t>SEXTO GRUPO</t>
  </si>
  <si>
    <t>5-6.</t>
  </si>
  <si>
    <t>3-4.</t>
  </si>
  <si>
    <t>1-2.</t>
  </si>
  <si>
    <t>SEGUNDO GRUPO</t>
  </si>
  <si>
    <t>Josué</t>
  </si>
  <si>
    <t>Juan José Pinzón</t>
  </si>
  <si>
    <t>PRIMER GRUPO</t>
  </si>
  <si>
    <t>Tomás</t>
  </si>
  <si>
    <t>Miguel Zuluaga</t>
  </si>
  <si>
    <t>TERCER GRUPO</t>
  </si>
  <si>
    <t>Samuel Ramirez</t>
  </si>
  <si>
    <t>Juan Gómez</t>
  </si>
  <si>
    <t>Samuel Medina</t>
  </si>
  <si>
    <t>QUINTO GRUPO</t>
  </si>
  <si>
    <t>Samuel Tejada</t>
  </si>
  <si>
    <t>Matías Restrepo</t>
  </si>
  <si>
    <t>SÉPTIMO</t>
  </si>
  <si>
    <t>Classwork 1.3 - Unit 6</t>
  </si>
  <si>
    <t>Classwork 2</t>
  </si>
  <si>
    <t>Homework 1 - Pag 73</t>
  </si>
  <si>
    <t>Homework 2  - Pag 76</t>
  </si>
  <si>
    <t xml:space="preserve">Participation 1.1 </t>
  </si>
  <si>
    <t>Participation 1 (General)</t>
  </si>
  <si>
    <t>Participation 2.1</t>
  </si>
  <si>
    <t>Participation 2.2</t>
  </si>
  <si>
    <t>Puntos</t>
  </si>
  <si>
    <t>Participation General 2</t>
  </si>
  <si>
    <t>David Owen</t>
  </si>
  <si>
    <t>Cabeen Rodríguez</t>
  </si>
  <si>
    <t>7B</t>
  </si>
  <si>
    <t>.+ 5* 5&amp;</t>
  </si>
  <si>
    <t>2+ ***</t>
  </si>
  <si>
    <t>5+ 2*</t>
  </si>
  <si>
    <t>Isabela</t>
  </si>
  <si>
    <t>Calzada Yepes</t>
  </si>
  <si>
    <t>7A</t>
  </si>
  <si>
    <t>.+ 5* +</t>
  </si>
  <si>
    <t>Santiago</t>
  </si>
  <si>
    <t>Díaz Echavarría</t>
  </si>
  <si>
    <t>Laura Sofía</t>
  </si>
  <si>
    <t>Fajardo Rodríguez</t>
  </si>
  <si>
    <t>5* 5&amp;</t>
  </si>
  <si>
    <t>Felipe</t>
  </si>
  <si>
    <t>Flórez Sierra</t>
  </si>
  <si>
    <t>5* + 5&amp;</t>
  </si>
  <si>
    <t>Paulina</t>
  </si>
  <si>
    <t>Gallego Zuluaga</t>
  </si>
  <si>
    <t>+ 5* +</t>
  </si>
  <si>
    <t>Camilo</t>
  </si>
  <si>
    <t>Giraldo Botero</t>
  </si>
  <si>
    <t>+ 5&amp;</t>
  </si>
  <si>
    <t>2+ *</t>
  </si>
  <si>
    <t>Gómez Alzate</t>
  </si>
  <si>
    <t>Sara Sofía</t>
  </si>
  <si>
    <t>Herrera Suárez</t>
  </si>
  <si>
    <t xml:space="preserve">Ana Isabel </t>
  </si>
  <si>
    <t>Jaramillo Cardona</t>
  </si>
  <si>
    <t>Luna</t>
  </si>
  <si>
    <t>Lopera Gómez</t>
  </si>
  <si>
    <t>Ximena</t>
  </si>
  <si>
    <t>Moreno Londoño</t>
  </si>
  <si>
    <t>5* +</t>
  </si>
  <si>
    <t>Susana</t>
  </si>
  <si>
    <t>Osorio Abad</t>
  </si>
  <si>
    <t>Sebastián</t>
  </si>
  <si>
    <t>Peralta Hernández</t>
  </si>
  <si>
    <t>Danna Lizeth</t>
  </si>
  <si>
    <t>Quitián Otero</t>
  </si>
  <si>
    <t>Fernando Jose</t>
  </si>
  <si>
    <t>Romero Aguilera</t>
  </si>
  <si>
    <t>5&amp;</t>
  </si>
  <si>
    <t>Jacobo</t>
  </si>
  <si>
    <t>Santa Pérez</t>
  </si>
  <si>
    <t>+ 5* 5&amp;</t>
  </si>
  <si>
    <t>Vargas Morales</t>
  </si>
  <si>
    <t>Nicolás</t>
  </si>
  <si>
    <t>Vásquez Alzate</t>
  </si>
  <si>
    <t>Vásquez Jaramillo</t>
  </si>
  <si>
    <t>Vásquez Llanos</t>
  </si>
  <si>
    <t>Jerónimo</t>
  </si>
  <si>
    <t>Villa Mendoza</t>
  </si>
  <si>
    <t>Yeiry Sofía</t>
  </si>
  <si>
    <t>Yurgaky Jimenez</t>
  </si>
  <si>
    <t>Grupos PROYECTO</t>
  </si>
  <si>
    <t>15-16</t>
  </si>
  <si>
    <t>13-14</t>
  </si>
  <si>
    <t>11-12.</t>
  </si>
  <si>
    <t>9-10.</t>
  </si>
  <si>
    <t>Laura</t>
  </si>
  <si>
    <t>Danna Vargas</t>
  </si>
  <si>
    <t>Ana</t>
  </si>
  <si>
    <t xml:space="preserve">Sara </t>
  </si>
  <si>
    <t>SÉPTIMO GRUPO</t>
  </si>
  <si>
    <t>Danna Q</t>
  </si>
  <si>
    <t>Nicolas</t>
  </si>
  <si>
    <t>Sebastián Peralta</t>
  </si>
  <si>
    <t>David</t>
  </si>
  <si>
    <t>Fernando</t>
  </si>
  <si>
    <t>Mariana Vasquez</t>
  </si>
  <si>
    <t>Yeiry</t>
  </si>
  <si>
    <t>Felipe Florez</t>
  </si>
  <si>
    <t>OCTAVO GRUPO</t>
  </si>
  <si>
    <t>OCTAVO</t>
  </si>
  <si>
    <t>Classwork 1 - Pages 70-71, 72, 74</t>
  </si>
  <si>
    <t>Classwork 2.1</t>
  </si>
  <si>
    <t>Classwork 2.2</t>
  </si>
  <si>
    <t>Classwork General 2</t>
  </si>
  <si>
    <t>Homework 1  - Pag 73</t>
  </si>
  <si>
    <t>Homework 2 - Pag 76</t>
  </si>
  <si>
    <t>Ana Sofía</t>
  </si>
  <si>
    <t>Arana Rojas</t>
  </si>
  <si>
    <t>8A</t>
  </si>
  <si>
    <t>Jeronimo</t>
  </si>
  <si>
    <t>Ardila Bustamante</t>
  </si>
  <si>
    <t>8B</t>
  </si>
  <si>
    <t>5+ 5+</t>
  </si>
  <si>
    <t>Ardila Ruíz</t>
  </si>
  <si>
    <t>Avilez Baez</t>
  </si>
  <si>
    <t>Barrero Duque</t>
  </si>
  <si>
    <t>Hanna Valentina</t>
  </si>
  <si>
    <t>Cardona Betancourt</t>
  </si>
  <si>
    <t>Cardona Gómez</t>
  </si>
  <si>
    <t>Andrés Felipe</t>
  </si>
  <si>
    <t>Carranza Hernández</t>
  </si>
  <si>
    <r>
      <rPr>
        <sz val="11"/>
        <color rgb="FFCC00FF"/>
        <rFont val="Open Sans"/>
        <family val="2"/>
      </rPr>
      <t>Isabel</t>
    </r>
    <r>
      <rPr>
        <sz val="11"/>
        <color rgb="FF000000"/>
        <rFont val="Open Sans"/>
        <family val="2"/>
      </rPr>
      <t xml:space="preserve"> Mariana</t>
    </r>
  </si>
  <si>
    <t>Ceballos Hinestroza</t>
  </si>
  <si>
    <r>
      <t xml:space="preserve">Laura </t>
    </r>
    <r>
      <rPr>
        <sz val="11"/>
        <color rgb="FF7030A0"/>
        <rFont val="Open Sans"/>
        <family val="2"/>
      </rPr>
      <t>Yaneth</t>
    </r>
  </si>
  <si>
    <t>Delgado Arguello</t>
  </si>
  <si>
    <t>Juan Esteban</t>
  </si>
  <si>
    <t>Díaz Monsalve</t>
  </si>
  <si>
    <t>Danna Camila</t>
  </si>
  <si>
    <t>Escobar Sánchez</t>
  </si>
  <si>
    <t>Marian Sofía</t>
  </si>
  <si>
    <t>Garzón Gómez</t>
  </si>
  <si>
    <t>5+ 5+ 5+ 5+</t>
  </si>
  <si>
    <t>Guevara Torres</t>
  </si>
  <si>
    <t>Sara</t>
  </si>
  <si>
    <t>Gutierrez Cortazar</t>
  </si>
  <si>
    <t xml:space="preserve">Sofía </t>
  </si>
  <si>
    <t>Hidalgo Pantoja</t>
  </si>
  <si>
    <t>Jaramillo Grajales</t>
  </si>
  <si>
    <t>Jaramillo Romero</t>
  </si>
  <si>
    <t>Fred Antonio</t>
  </si>
  <si>
    <t>Jay Mora</t>
  </si>
  <si>
    <t>Juan Sebastian</t>
  </si>
  <si>
    <t>Martínez Osorio</t>
  </si>
  <si>
    <t>Mera Carreño</t>
  </si>
  <si>
    <t>Montoya Londoño</t>
  </si>
  <si>
    <t>Lorenzo</t>
  </si>
  <si>
    <t>Parodi Pineda</t>
  </si>
  <si>
    <t>Sara Isabella</t>
  </si>
  <si>
    <t>Pinzón Álvarez</t>
  </si>
  <si>
    <r>
      <t xml:space="preserve">Sheylla </t>
    </r>
    <r>
      <rPr>
        <sz val="11"/>
        <color rgb="FF7030A0"/>
        <rFont val="Open Sans"/>
        <family val="2"/>
      </rPr>
      <t>del Carmen</t>
    </r>
  </si>
  <si>
    <t>Quintero Socarras</t>
  </si>
  <si>
    <t>5+ 5+ 5+</t>
  </si>
  <si>
    <t>Emanuel</t>
  </si>
  <si>
    <t>Ramírez Baena</t>
  </si>
  <si>
    <t>Restrepo Arbelaez</t>
  </si>
  <si>
    <t>Restrepo Mejía</t>
  </si>
  <si>
    <t>Simón</t>
  </si>
  <si>
    <t>Rincón Sanmiguel</t>
  </si>
  <si>
    <t>Rodas Caicedo</t>
  </si>
  <si>
    <t>Sierra Pineda</t>
  </si>
  <si>
    <t>Lesly Janelly</t>
  </si>
  <si>
    <t>Vinasco Trejos</t>
  </si>
  <si>
    <t xml:space="preserve"> </t>
  </si>
  <si>
    <t>Ana Arana</t>
  </si>
  <si>
    <t>ONCEAVO GRUPO</t>
  </si>
  <si>
    <t>Laura Avilez</t>
  </si>
  <si>
    <t>Sofía Hidalgo</t>
  </si>
  <si>
    <t>Lorenzo Parodi</t>
  </si>
  <si>
    <t>Juan</t>
  </si>
  <si>
    <t>Lesly</t>
  </si>
  <si>
    <t>Samuel Ardila</t>
  </si>
  <si>
    <t>Andrés Carranza</t>
  </si>
  <si>
    <t>Miguel Mera</t>
  </si>
  <si>
    <t>Valentina Cardona</t>
  </si>
  <si>
    <t>Mariana Ceballos</t>
  </si>
  <si>
    <t>Laura Delgado</t>
  </si>
  <si>
    <t>Isabella Cardona</t>
  </si>
  <si>
    <t>Sara Pinzón</t>
  </si>
  <si>
    <t>Laura Restrepo</t>
  </si>
  <si>
    <t>Danna Escobar</t>
  </si>
  <si>
    <t>Sara Gutierrez</t>
  </si>
  <si>
    <t>Isabella Guevara</t>
  </si>
  <si>
    <t>Marian Garzón</t>
  </si>
  <si>
    <t>Sheyla</t>
  </si>
  <si>
    <t>Manuela Jaramillo</t>
  </si>
  <si>
    <t>NOVENO GRUPO</t>
  </si>
  <si>
    <t>Alejandro Barrero</t>
  </si>
  <si>
    <t>Ana Jaramillo</t>
  </si>
  <si>
    <t>Emmanuel</t>
  </si>
  <si>
    <t>David Rodas</t>
  </si>
  <si>
    <t>Miguel Montoya</t>
  </si>
  <si>
    <t>Sebastián Sierra</t>
  </si>
  <si>
    <t>Sebastián Martínez</t>
  </si>
  <si>
    <t>Fred Jay</t>
  </si>
  <si>
    <t>DÉCIMO GRUPO</t>
  </si>
  <si>
    <t>Simón Restrepo</t>
  </si>
  <si>
    <t>Sebastián Rincón</t>
  </si>
  <si>
    <t>NOVENO</t>
  </si>
  <si>
    <t>Classwork 1</t>
  </si>
  <si>
    <t>Classwork Unit 6 General work</t>
  </si>
  <si>
    <t>Classwork 2 - Pag 58-59, 60, 62, 63</t>
  </si>
  <si>
    <t>Classwork Pag 67</t>
  </si>
  <si>
    <t>Homework 1 Pag 61</t>
  </si>
  <si>
    <t>Homework 2 Pag 64</t>
  </si>
  <si>
    <t xml:space="preserve">Participation 2.1 </t>
  </si>
  <si>
    <t>Participation 2 (General)</t>
  </si>
  <si>
    <t xml:space="preserve">Juán Andrés </t>
  </si>
  <si>
    <t>Acosta Meza</t>
  </si>
  <si>
    <t>9B</t>
  </si>
  <si>
    <t>Álvarez Jaramillo</t>
  </si>
  <si>
    <t>María Alejandra</t>
  </si>
  <si>
    <t>Arias Pasos</t>
  </si>
  <si>
    <t>Dina</t>
  </si>
  <si>
    <t>Bernal Herrera</t>
  </si>
  <si>
    <t>9A</t>
  </si>
  <si>
    <t>5+ 2+ 5+</t>
  </si>
  <si>
    <t>Lina</t>
  </si>
  <si>
    <t>Gabriana Galeana</t>
  </si>
  <si>
    <t>Calderon Quitana</t>
  </si>
  <si>
    <t xml:space="preserve"> 2+ **</t>
  </si>
  <si>
    <t>Zoar Ester</t>
  </si>
  <si>
    <t>Cruz Vives</t>
  </si>
  <si>
    <t>Daniel</t>
  </si>
  <si>
    <t>Escobar Muñoz</t>
  </si>
  <si>
    <t>Isabel</t>
  </si>
  <si>
    <t>Hernández Cano</t>
  </si>
  <si>
    <t>Julián</t>
  </si>
  <si>
    <t>Jiménez García</t>
  </si>
  <si>
    <t>2+ 2+</t>
  </si>
  <si>
    <t>Samuel David</t>
  </si>
  <si>
    <t>Manjarres Ortega</t>
  </si>
  <si>
    <t>**</t>
  </si>
  <si>
    <t>** 5+</t>
  </si>
  <si>
    <t>James Jhosep</t>
  </si>
  <si>
    <t>Matoma Buitrago</t>
  </si>
  <si>
    <t>Mesa Zuluaga</t>
  </si>
  <si>
    <t>Juan Matheo</t>
  </si>
  <si>
    <t>Moreno Chaparro</t>
  </si>
  <si>
    <t>Daniel Santiago</t>
  </si>
  <si>
    <t>Muñoz Hernández</t>
  </si>
  <si>
    <t>2+ 2+ **</t>
  </si>
  <si>
    <t>Estefany Jaaziel</t>
  </si>
  <si>
    <t>Murillo Garay</t>
  </si>
  <si>
    <t>Piedrahita Rua</t>
  </si>
  <si>
    <t>Daniel Felipe</t>
  </si>
  <si>
    <t>Pino Ortega</t>
  </si>
  <si>
    <t>Hana Sofía</t>
  </si>
  <si>
    <t>Poveda Cely</t>
  </si>
  <si>
    <t>5+ 2+ 2+ **</t>
  </si>
  <si>
    <t>Ríos Flórez</t>
  </si>
  <si>
    <t>Rodríguez Jiménez</t>
  </si>
  <si>
    <t>Zaraza Nanclares</t>
  </si>
  <si>
    <t>Sarah</t>
  </si>
  <si>
    <t>Zuluaga Ramírez</t>
  </si>
  <si>
    <t>Villaquirán Monroy</t>
  </si>
  <si>
    <t>Ewart Einstein</t>
  </si>
  <si>
    <t>Echavarría Hooker</t>
  </si>
  <si>
    <t>Guzmán Navarro</t>
  </si>
  <si>
    <t>Alejandra</t>
  </si>
  <si>
    <t>Samuel Alvarez</t>
  </si>
  <si>
    <t>Juan Acosta</t>
  </si>
  <si>
    <t>Gabriana</t>
  </si>
  <si>
    <t>Stefanny</t>
  </si>
  <si>
    <t>Samuel Manjarres</t>
  </si>
  <si>
    <t>Daniel Muñoz</t>
  </si>
  <si>
    <t>Daniel Escobar</t>
  </si>
  <si>
    <t>Matheo</t>
  </si>
  <si>
    <t>Samuel Zaraza</t>
  </si>
  <si>
    <t>Emmanuel P</t>
  </si>
  <si>
    <t>Julian</t>
  </si>
  <si>
    <t>Daniel Pino</t>
  </si>
  <si>
    <t xml:space="preserve">Hanna </t>
  </si>
  <si>
    <t>Samuel Ríos</t>
  </si>
  <si>
    <t>James Matoma</t>
  </si>
  <si>
    <t>DÉCIMO</t>
  </si>
  <si>
    <t>Classwork 2 - Pages 58-59, 60, 62</t>
  </si>
  <si>
    <t xml:space="preserve">Classwork 2.1 </t>
  </si>
  <si>
    <t>Homework 1 (Page 61)</t>
  </si>
  <si>
    <t>Homework 2 (Page 64)</t>
  </si>
  <si>
    <t>Valeria</t>
  </si>
  <si>
    <t>Aristizabal Aristizabal</t>
  </si>
  <si>
    <t>10B</t>
  </si>
  <si>
    <t>Juan David</t>
  </si>
  <si>
    <t>Benavidez</t>
  </si>
  <si>
    <t>Shaday</t>
  </si>
  <si>
    <t>Caballero Mendoza</t>
  </si>
  <si>
    <t>10A</t>
  </si>
  <si>
    <t>1 2*</t>
  </si>
  <si>
    <t>2+ 1*</t>
  </si>
  <si>
    <t>Daniel Alejandro</t>
  </si>
  <si>
    <t>4.5+</t>
  </si>
  <si>
    <t>Miguel Santiago</t>
  </si>
  <si>
    <t>Córdoba Quintero</t>
  </si>
  <si>
    <t>García Martínez</t>
  </si>
  <si>
    <t>4+ 2*</t>
  </si>
  <si>
    <t>García Ravelo</t>
  </si>
  <si>
    <t>2+ 3*</t>
  </si>
  <si>
    <t>Grajales Alzate</t>
  </si>
  <si>
    <t>Romario José</t>
  </si>
  <si>
    <t>Guerrero Agudelo</t>
  </si>
  <si>
    <t>Pablo Ismael</t>
  </si>
  <si>
    <t>Hernández Silva</t>
  </si>
  <si>
    <t>4.5+ 3*</t>
  </si>
  <si>
    <t>Iglesias Restrepo</t>
  </si>
  <si>
    <t>Violeta</t>
  </si>
  <si>
    <t>Jaramillo Ruíz</t>
  </si>
  <si>
    <t>4.5+ 5*</t>
  </si>
  <si>
    <t>Eli Santiago</t>
  </si>
  <si>
    <t>Llanos Polania</t>
  </si>
  <si>
    <t>3.5+</t>
  </si>
  <si>
    <t>Michelle Stefany</t>
  </si>
  <si>
    <t>López Yara</t>
  </si>
  <si>
    <t>5+ 3*</t>
  </si>
  <si>
    <t xml:space="preserve">Samara </t>
  </si>
  <si>
    <t>Mestra Latorre</t>
  </si>
  <si>
    <t>José Manuel</t>
  </si>
  <si>
    <t>Molina Gómez</t>
  </si>
  <si>
    <t>Monsalve Madrid</t>
  </si>
  <si>
    <t>4.5+ 2*</t>
  </si>
  <si>
    <t>Ortega Hernández</t>
  </si>
  <si>
    <t>Keren Daniela</t>
  </si>
  <si>
    <t>Quintero Valencia</t>
  </si>
  <si>
    <t>Juliana</t>
  </si>
  <si>
    <t xml:space="preserve">Rodrigo Bernabé </t>
  </si>
  <si>
    <t>Suárez Campos</t>
  </si>
  <si>
    <t>Oscar Educardo</t>
  </si>
  <si>
    <t>Suárez Castellanos</t>
  </si>
  <si>
    <t>3+ 3*</t>
  </si>
  <si>
    <t>Karol Alejandra</t>
  </si>
  <si>
    <t>Yela Bastidas</t>
  </si>
  <si>
    <t>5+ 4*</t>
  </si>
  <si>
    <t xml:space="preserve">María José </t>
  </si>
  <si>
    <t>Keren</t>
  </si>
  <si>
    <t>Oscar</t>
  </si>
  <si>
    <t>SEPTIMO GRUPO</t>
  </si>
  <si>
    <t>Juan José García</t>
  </si>
  <si>
    <t>Miguel Cordoba</t>
  </si>
  <si>
    <t>Juan David Benavidez</t>
  </si>
  <si>
    <t>Miguel Ortega</t>
  </si>
  <si>
    <t>Pablo</t>
  </si>
  <si>
    <t>Samara</t>
  </si>
  <si>
    <t>Karol</t>
  </si>
  <si>
    <t>SEXTO LUGAR</t>
  </si>
  <si>
    <t>Santiago Ceballos</t>
  </si>
  <si>
    <t>Michelle</t>
  </si>
  <si>
    <t>Bernabé</t>
  </si>
  <si>
    <t>Romario</t>
  </si>
  <si>
    <t>Andrés Iglesias</t>
  </si>
  <si>
    <t>Miguel Monsalve</t>
  </si>
  <si>
    <t>Eli Llanos</t>
  </si>
  <si>
    <t>José Molina</t>
  </si>
  <si>
    <t>Daniel Ceballos</t>
  </si>
  <si>
    <t>Samuel Cardona</t>
  </si>
  <si>
    <t>Daniel Pinzón</t>
  </si>
  <si>
    <t>ÓNCE</t>
  </si>
  <si>
    <t>Classwork 1.1 - Pag 44 (5, 8)</t>
  </si>
  <si>
    <t>Homework 1 (Pag 55)</t>
  </si>
  <si>
    <t>Homework 2 .1 (Pag 56)</t>
  </si>
  <si>
    <t>Participation 1  (in class)</t>
  </si>
  <si>
    <t>Camila</t>
  </si>
  <si>
    <t>Aguirre Sánchez</t>
  </si>
  <si>
    <t>11A</t>
  </si>
  <si>
    <t>Luz Camelia</t>
  </si>
  <si>
    <t>Anacona Agudelo</t>
  </si>
  <si>
    <t>11B</t>
  </si>
  <si>
    <t>María Camila</t>
  </si>
  <si>
    <t>Arcila Arango</t>
  </si>
  <si>
    <t>++ *</t>
  </si>
  <si>
    <t>Paula Andrea</t>
  </si>
  <si>
    <t>Arias Vaca</t>
  </si>
  <si>
    <t>Ángel Rivera</t>
  </si>
  <si>
    <t>.++ *</t>
  </si>
  <si>
    <t>José Enrique</t>
  </si>
  <si>
    <t>Baquero Cataño</t>
  </si>
  <si>
    <t xml:space="preserve">Omar Andrés </t>
  </si>
  <si>
    <t>Cortés Rueda</t>
  </si>
  <si>
    <t>Luís Miguel</t>
  </si>
  <si>
    <t>Díaz Noscue</t>
  </si>
  <si>
    <t>Duque Ríos</t>
  </si>
  <si>
    <t>Echeverry Restrepo</t>
  </si>
  <si>
    <t>Juán Sebastián</t>
  </si>
  <si>
    <t>García Anaya</t>
  </si>
  <si>
    <t>Mateo</t>
  </si>
  <si>
    <t>Giraldo Mejía</t>
  </si>
  <si>
    <t>Alicia Ivana</t>
  </si>
  <si>
    <t>Ibarra Zapata</t>
  </si>
  <si>
    <t>Jaramillo Quijano</t>
  </si>
  <si>
    <t>+ *</t>
  </si>
  <si>
    <t>Adriana Marcela</t>
  </si>
  <si>
    <t>Javela Silva</t>
  </si>
  <si>
    <t>OK (26/04/21)</t>
  </si>
  <si>
    <t>Osorio Cañas</t>
  </si>
  <si>
    <t>Palacios Machado</t>
  </si>
  <si>
    <t>Marco Antonio</t>
  </si>
  <si>
    <t>Pérez Rivillas</t>
  </si>
  <si>
    <t>Rich Lan</t>
  </si>
  <si>
    <t>Pusey Veloza</t>
  </si>
  <si>
    <t>Rivera Ruíz</t>
  </si>
  <si>
    <t>.+++ *</t>
  </si>
  <si>
    <t>Paola Abigail</t>
  </si>
  <si>
    <t>Thyme Obregón</t>
  </si>
  <si>
    <t>Marían Edith</t>
  </si>
  <si>
    <t>Valencia Franco</t>
  </si>
  <si>
    <t>Villegas Castrillón</t>
  </si>
  <si>
    <t>Grupos de Proyecto</t>
  </si>
  <si>
    <t>Camila Arcila</t>
  </si>
  <si>
    <t>Paula</t>
  </si>
  <si>
    <t>Aleja</t>
  </si>
  <si>
    <t>Marian</t>
  </si>
  <si>
    <t>Stefany</t>
  </si>
  <si>
    <t>Adriana</t>
  </si>
  <si>
    <t>José Baquero</t>
  </si>
  <si>
    <t>Miguel Díaz</t>
  </si>
  <si>
    <t>Sebastián Osorio</t>
  </si>
  <si>
    <t>Omar</t>
  </si>
  <si>
    <t>Andrés</t>
  </si>
  <si>
    <t>Marco</t>
  </si>
  <si>
    <t>Abigail</t>
  </si>
  <si>
    <t>Alicia</t>
  </si>
  <si>
    <t>Juan Sebastián</t>
  </si>
  <si>
    <t>Santiago V</t>
  </si>
  <si>
    <t>Mateo Giraldo</t>
  </si>
  <si>
    <t>Camila Aguirre</t>
  </si>
  <si>
    <t>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</si>
</sst>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1"/>
      <color rgb="FF000000"/>
      <name val="Calibri"/>
    </font>
    <font>
      <b/>
      <sz val="10"/>
      <color rgb="FFFFFFFF"/>
      <name val="Open Sans"/>
      <family val="2"/>
    </font>
    <font>
      <sz val="11"/>
      <color rgb="FF000000"/>
      <name val="Open Sans"/>
      <family val="2"/>
    </font>
    <font>
      <b/>
      <sz val="11"/>
      <color rgb="FF002060"/>
      <name val="Open Sans"/>
      <family val="2"/>
    </font>
    <font>
      <b/>
      <sz val="7"/>
      <color rgb="FF002060"/>
      <name val="Open Sans"/>
      <family val="2"/>
    </font>
    <font>
      <sz val="11"/>
      <color rgb="FF7030A0"/>
      <name val="Open Sans"/>
      <family val="2"/>
    </font>
    <font>
      <sz val="6"/>
      <color rgb="FF002060"/>
      <name val="Open Sans"/>
      <family val="2"/>
    </font>
    <font>
      <b/>
      <sz val="9"/>
      <color rgb="FF002060"/>
      <name val="Open Sans"/>
      <family val="2"/>
    </font>
    <font>
      <sz val="11"/>
      <color rgb="FFFF0000"/>
      <name val="Open Sans"/>
      <family val="2"/>
    </font>
    <font>
      <sz val="8"/>
      <color rgb="FF000000"/>
      <name val="Open Sans"/>
      <family val="2"/>
    </font>
    <font>
      <b/>
      <sz val="9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CC00FF"/>
      <name val="Open Sans"/>
      <family val="2"/>
    </font>
    <font>
      <sz val="5"/>
      <color rgb="FF002060"/>
      <name val="Open Sans"/>
      <family val="2"/>
    </font>
    <font>
      <sz val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Open Sans"/>
    </font>
    <font>
      <sz val="11"/>
      <color rgb="FFFF0000"/>
      <name val="Open Sans"/>
    </font>
  </fonts>
  <fills count="16">
    <fill>
      <patternFill patternType="none"/>
    </fill>
    <fill>
      <patternFill patternType="gray125"/>
    </fill>
    <fill>
      <patternFill patternType="solid">
        <fgColor rgb="FF003057"/>
        <bgColor rgb="FF003057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1" fillId="2" borderId="5" xfId="0" applyFont="1" applyFill="1" applyBorder="1" applyAlignment="1">
      <alignment horizontal="right"/>
    </xf>
    <xf numFmtId="0" fontId="6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/>
    </xf>
    <xf numFmtId="0" fontId="2" fillId="5" borderId="2" xfId="0" applyFont="1" applyFill="1" applyBorder="1"/>
    <xf numFmtId="0" fontId="2" fillId="0" borderId="2" xfId="0" applyFont="1" applyBorder="1" applyAlignment="1">
      <alignment horizontal="right"/>
    </xf>
    <xf numFmtId="164" fontId="2" fillId="0" borderId="2" xfId="0" applyNumberFormat="1" applyFont="1" applyBorder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2" fillId="0" borderId="2" xfId="0" quotePrefix="1" applyFont="1" applyBorder="1"/>
    <xf numFmtId="0" fontId="2" fillId="6" borderId="0" xfId="0" applyFont="1" applyFill="1"/>
    <xf numFmtId="0" fontId="6" fillId="3" borderId="2" xfId="0" applyFont="1" applyFill="1" applyBorder="1" applyAlignment="1">
      <alignment horizontal="center" vertical="center" wrapText="1"/>
    </xf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1" fontId="2" fillId="0" borderId="2" xfId="0" applyNumberFormat="1" applyFont="1" applyBorder="1"/>
    <xf numFmtId="0" fontId="10" fillId="0" borderId="0" xfId="0" applyFont="1"/>
    <xf numFmtId="0" fontId="2" fillId="0" borderId="2" xfId="0" applyFont="1" applyBorder="1" applyAlignment="1">
      <alignment horizontal="center" vertical="center"/>
    </xf>
    <xf numFmtId="0" fontId="14" fillId="3" borderId="2" xfId="0" applyFont="1" applyFill="1" applyBorder="1" applyAlignment="1">
      <alignment vertical="center" wrapText="1"/>
    </xf>
    <xf numFmtId="1" fontId="2" fillId="0" borderId="2" xfId="0" quotePrefix="1" applyNumberFormat="1" applyFont="1" applyBorder="1"/>
    <xf numFmtId="0" fontId="2" fillId="0" borderId="2" xfId="0" applyFont="1" applyBorder="1" applyAlignment="1">
      <alignment horizontal="right" vertical="center"/>
    </xf>
    <xf numFmtId="164" fontId="2" fillId="0" borderId="2" xfId="0" applyNumberFormat="1" applyFont="1" applyBorder="1" applyAlignment="1">
      <alignment horizontal="right"/>
    </xf>
    <xf numFmtId="0" fontId="2" fillId="7" borderId="2" xfId="0" applyFont="1" applyFill="1" applyBorder="1" applyAlignment="1">
      <alignment horizontal="right"/>
    </xf>
    <xf numFmtId="0" fontId="2" fillId="11" borderId="2" xfId="0" applyFont="1" applyFill="1" applyBorder="1"/>
    <xf numFmtId="164" fontId="2" fillId="11" borderId="2" xfId="0" applyNumberFormat="1" applyFont="1" applyFill="1" applyBorder="1"/>
    <xf numFmtId="0" fontId="2" fillId="11" borderId="2" xfId="0" applyFont="1" applyFill="1" applyBorder="1" applyAlignment="1">
      <alignment horizontal="center" vertical="center"/>
    </xf>
    <xf numFmtId="164" fontId="2" fillId="11" borderId="2" xfId="0" applyNumberFormat="1" applyFont="1" applyFill="1" applyBorder="1" applyAlignment="1">
      <alignment horizontal="center" vertical="center"/>
    </xf>
    <xf numFmtId="16" fontId="2" fillId="0" borderId="0" xfId="0" applyNumberFormat="1" applyFont="1"/>
    <xf numFmtId="0" fontId="2" fillId="11" borderId="2" xfId="0" applyFont="1" applyFill="1" applyBorder="1" applyAlignment="1">
      <alignment horizontal="right"/>
    </xf>
    <xf numFmtId="0" fontId="2" fillId="11" borderId="2" xfId="0" quotePrefix="1" applyFont="1" applyFill="1" applyBorder="1"/>
    <xf numFmtId="0" fontId="2" fillId="12" borderId="2" xfId="0" applyFont="1" applyFill="1" applyBorder="1" applyAlignment="1">
      <alignment horizontal="right"/>
    </xf>
    <xf numFmtId="0" fontId="2" fillId="7" borderId="2" xfId="0" applyFont="1" applyFill="1" applyBorder="1"/>
    <xf numFmtId="164" fontId="2" fillId="7" borderId="2" xfId="0" applyNumberFormat="1" applyFont="1" applyFill="1" applyBorder="1"/>
    <xf numFmtId="0" fontId="2" fillId="3" borderId="2" xfId="0" applyFont="1" applyFill="1" applyBorder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164" fontId="2" fillId="0" borderId="2" xfId="0" applyNumberFormat="1" applyFont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3" borderId="2" xfId="0" applyFont="1" applyFill="1" applyBorder="1"/>
    <xf numFmtId="0" fontId="2" fillId="13" borderId="2" xfId="0" applyFont="1" applyFill="1" applyBorder="1" applyAlignment="1">
      <alignment horizontal="center"/>
    </xf>
    <xf numFmtId="164" fontId="2" fillId="13" borderId="2" xfId="0" applyNumberFormat="1" applyFont="1" applyFill="1" applyBorder="1"/>
    <xf numFmtId="1" fontId="2" fillId="13" borderId="2" xfId="0" applyNumberFormat="1" applyFont="1" applyFill="1" applyBorder="1"/>
    <xf numFmtId="0" fontId="2" fillId="13" borderId="0" xfId="0" applyFont="1" applyFill="1"/>
    <xf numFmtId="164" fontId="2" fillId="7" borderId="2" xfId="0" applyNumberFormat="1" applyFont="1" applyFill="1" applyBorder="1" applyAlignment="1">
      <alignment horizontal="right"/>
    </xf>
    <xf numFmtId="164" fontId="2" fillId="0" borderId="2" xfId="0" quotePrefix="1" applyNumberFormat="1" applyFont="1" applyBorder="1"/>
    <xf numFmtId="164" fontId="2" fillId="14" borderId="2" xfId="0" applyNumberFormat="1" applyFont="1" applyFill="1" applyBorder="1"/>
    <xf numFmtId="0" fontId="2" fillId="14" borderId="2" xfId="0" applyFont="1" applyFill="1" applyBorder="1"/>
    <xf numFmtId="0" fontId="2" fillId="14" borderId="2" xfId="0" applyFont="1" applyFill="1" applyBorder="1" applyAlignment="1">
      <alignment horizontal="right"/>
    </xf>
    <xf numFmtId="0" fontId="2" fillId="14" borderId="0" xfId="0" applyFont="1" applyFill="1"/>
    <xf numFmtId="0" fontId="2" fillId="14" borderId="4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164" fontId="2" fillId="15" borderId="2" xfId="0" applyNumberFormat="1" applyFont="1" applyFill="1" applyBorder="1"/>
    <xf numFmtId="0" fontId="2" fillId="15" borderId="2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" fontId="18" fillId="0" borderId="0" xfId="0" applyNumberFormat="1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15" borderId="2" xfId="0" applyFont="1" applyFill="1" applyBorder="1" applyAlignment="1">
      <alignment horizontal="right"/>
    </xf>
    <xf numFmtId="0" fontId="2" fillId="15" borderId="2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CC00FF"/>
      <color rgb="FF00FF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56"/>
  <sheetViews>
    <sheetView zoomScale="130" zoomScaleNormal="130" workbookViewId="0">
      <pane xSplit="4" ySplit="5" topLeftCell="P15" activePane="bottomRight" state="frozen"/>
      <selection pane="bottomRight" activeCell="U23" sqref="U16:U23"/>
      <selection pane="bottomLeft" activeCell="A6" sqref="A6"/>
      <selection pane="topRight" activeCell="F1" sqref="F1"/>
    </sheetView>
  </sheetViews>
  <sheetFormatPr defaultColWidth="11.42578125" defaultRowHeight="16.5"/>
  <cols>
    <col min="1" max="1" width="3.5703125" style="1" customWidth="1"/>
    <col min="2" max="2" width="18.42578125" style="1" customWidth="1"/>
    <col min="3" max="3" width="27.7109375" style="1" customWidth="1"/>
    <col min="4" max="4" width="5.5703125" style="1" customWidth="1"/>
    <col min="5" max="6" width="6.28515625" style="1" hidden="1" customWidth="1"/>
    <col min="7" max="7" width="6.28515625" style="1" customWidth="1"/>
    <col min="8" max="9" width="6.28515625" style="1" hidden="1" customWidth="1"/>
    <col min="10" max="11" width="6.28515625" style="1" customWidth="1"/>
    <col min="12" max="12" width="6.5703125" style="1" customWidth="1"/>
    <col min="13" max="13" width="6" style="1" hidden="1" customWidth="1"/>
    <col min="14" max="16" width="6" style="1" customWidth="1"/>
    <col min="17" max="17" width="7.5703125" style="1" customWidth="1"/>
    <col min="18" max="18" width="6.5703125" style="1" hidden="1" customWidth="1"/>
    <col min="19" max="19" width="7" style="1" hidden="1" customWidth="1"/>
    <col min="20" max="20" width="5.42578125" style="1" hidden="1" customWidth="1"/>
    <col min="21" max="21" width="5.85546875" style="1" customWidth="1"/>
    <col min="22" max="22" width="7" style="1" customWidth="1"/>
    <col min="23" max="24" width="7.7109375" style="1" customWidth="1"/>
    <col min="25" max="25" width="8.7109375" style="1" customWidth="1"/>
    <col min="26" max="26" width="1.28515625" style="1" customWidth="1"/>
    <col min="27" max="27" width="3" style="1" customWidth="1"/>
    <col min="28" max="28" width="3.28515625" style="1" customWidth="1"/>
    <col min="29" max="16384" width="11.42578125" style="1"/>
  </cols>
  <sheetData>
    <row r="2" spans="1:28">
      <c r="B2" s="68" t="s">
        <v>0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</row>
    <row r="3" spans="1:28" ht="15" customHeight="1">
      <c r="B3" s="7" t="s">
        <v>1</v>
      </c>
      <c r="C3" s="6" t="s">
        <v>2</v>
      </c>
      <c r="D3" s="6"/>
      <c r="E3" s="11"/>
      <c r="F3" s="11"/>
      <c r="G3" s="11"/>
      <c r="H3" s="11"/>
      <c r="I3" s="11"/>
      <c r="J3" s="11"/>
      <c r="K3" s="11"/>
      <c r="L3" s="80" t="s">
        <v>3</v>
      </c>
      <c r="M3" s="80"/>
      <c r="N3" s="14" t="s">
        <v>4</v>
      </c>
      <c r="O3" s="14"/>
      <c r="P3" s="11"/>
      <c r="Q3" s="11" t="s">
        <v>5</v>
      </c>
      <c r="R3" s="8" t="s">
        <v>6</v>
      </c>
      <c r="S3" s="11"/>
      <c r="T3" s="11"/>
      <c r="U3" s="80">
        <v>6</v>
      </c>
      <c r="V3" s="80"/>
      <c r="W3" s="80" t="s">
        <v>7</v>
      </c>
      <c r="X3" s="80"/>
      <c r="Y3" s="8" t="s">
        <v>8</v>
      </c>
    </row>
    <row r="4" spans="1:28" s="2" customFormat="1" ht="15" customHeight="1">
      <c r="B4" s="70" t="s">
        <v>9</v>
      </c>
      <c r="C4" s="70" t="s">
        <v>10</v>
      </c>
      <c r="D4" s="72" t="s">
        <v>11</v>
      </c>
      <c r="E4" s="74" t="s">
        <v>12</v>
      </c>
      <c r="F4" s="75"/>
      <c r="G4" s="75"/>
      <c r="H4" s="75"/>
      <c r="I4" s="75"/>
      <c r="J4" s="75"/>
      <c r="K4" s="75"/>
      <c r="L4" s="76"/>
      <c r="M4" s="77" t="s">
        <v>13</v>
      </c>
      <c r="N4" s="78"/>
      <c r="O4" s="78"/>
      <c r="P4" s="78"/>
      <c r="Q4" s="79"/>
      <c r="R4" s="77" t="s">
        <v>14</v>
      </c>
      <c r="S4" s="78"/>
      <c r="T4" s="78"/>
      <c r="U4" s="78"/>
      <c r="V4" s="78"/>
      <c r="W4" s="78"/>
      <c r="X4" s="78"/>
      <c r="Y4" s="79"/>
    </row>
    <row r="5" spans="1:28" ht="23.25" customHeight="1">
      <c r="A5" s="2"/>
      <c r="B5" s="71"/>
      <c r="C5" s="71"/>
      <c r="D5" s="73"/>
      <c r="E5" s="12" t="s">
        <v>15</v>
      </c>
      <c r="F5" s="12" t="s">
        <v>16</v>
      </c>
      <c r="G5" s="12" t="s">
        <v>17</v>
      </c>
      <c r="H5" s="12" t="s">
        <v>18</v>
      </c>
      <c r="I5" s="12" t="s">
        <v>19</v>
      </c>
      <c r="J5" s="12" t="s">
        <v>20</v>
      </c>
      <c r="K5" s="13" t="s">
        <v>21</v>
      </c>
      <c r="L5" s="13" t="s">
        <v>22</v>
      </c>
      <c r="M5" s="12" t="s">
        <v>23</v>
      </c>
      <c r="N5" s="12" t="s">
        <v>24</v>
      </c>
      <c r="O5" s="12" t="s">
        <v>25</v>
      </c>
      <c r="P5" s="12" t="s">
        <v>26</v>
      </c>
      <c r="Q5" s="12" t="s">
        <v>27</v>
      </c>
      <c r="R5" s="12" t="s">
        <v>28</v>
      </c>
      <c r="S5" s="12" t="s">
        <v>29</v>
      </c>
      <c r="T5" s="12" t="s">
        <v>30</v>
      </c>
      <c r="U5" s="12" t="s">
        <v>31</v>
      </c>
      <c r="V5" s="12"/>
      <c r="W5" s="12"/>
      <c r="X5" s="12"/>
      <c r="Y5" s="13" t="s">
        <v>32</v>
      </c>
    </row>
    <row r="6" spans="1:28">
      <c r="A6" s="2">
        <v>1</v>
      </c>
      <c r="B6" s="3" t="s">
        <v>33</v>
      </c>
      <c r="C6" s="3" t="s">
        <v>34</v>
      </c>
      <c r="D6" s="65" t="s">
        <v>35</v>
      </c>
      <c r="E6" s="3" t="s">
        <v>36</v>
      </c>
      <c r="F6" s="3">
        <v>1</v>
      </c>
      <c r="G6" s="37">
        <f>(5+1)/2</f>
        <v>3</v>
      </c>
      <c r="H6" s="17">
        <f>(3.5+4+1)/3</f>
        <v>2.8333333333333335</v>
      </c>
      <c r="I6" s="17">
        <v>1</v>
      </c>
      <c r="J6" s="39">
        <f>(1+1)/2</f>
        <v>1</v>
      </c>
      <c r="K6" s="3">
        <f>(4+4+5+5+5)/5</f>
        <v>4.5999999999999996</v>
      </c>
      <c r="L6" s="34"/>
      <c r="M6" s="17">
        <v>1</v>
      </c>
      <c r="N6" s="60">
        <v>1</v>
      </c>
      <c r="O6" s="60">
        <v>1</v>
      </c>
      <c r="P6" s="60">
        <v>1</v>
      </c>
      <c r="Q6" s="60">
        <v>1</v>
      </c>
      <c r="R6" s="3" t="s">
        <v>37</v>
      </c>
      <c r="S6" s="3" t="s">
        <v>38</v>
      </c>
      <c r="T6" s="3">
        <v>10</v>
      </c>
      <c r="U6" s="37">
        <v>4.2</v>
      </c>
      <c r="V6" s="3"/>
      <c r="W6" s="17"/>
      <c r="X6" s="17"/>
      <c r="Y6" s="3">
        <v>3.5</v>
      </c>
    </row>
    <row r="7" spans="1:28">
      <c r="A7" s="2">
        <v>2</v>
      </c>
      <c r="B7" s="3" t="s">
        <v>39</v>
      </c>
      <c r="C7" s="3" t="s">
        <v>40</v>
      </c>
      <c r="D7" s="65" t="s">
        <v>35</v>
      </c>
      <c r="E7" s="3" t="s">
        <v>41</v>
      </c>
      <c r="F7" s="3" t="s">
        <v>42</v>
      </c>
      <c r="G7" s="38">
        <f>(4.5+4)/2</f>
        <v>4.25</v>
      </c>
      <c r="H7" s="45">
        <f>(3.5+3.5+3.2)/3</f>
        <v>3.4</v>
      </c>
      <c r="I7" s="17" t="s">
        <v>41</v>
      </c>
      <c r="J7" s="31">
        <f>(H7+5)/2</f>
        <v>4.2</v>
      </c>
      <c r="K7" s="3">
        <f>(4+4+5+5+5)/5</f>
        <v>4.5999999999999996</v>
      </c>
      <c r="L7" s="16"/>
      <c r="M7" s="17">
        <v>5</v>
      </c>
      <c r="N7" s="60">
        <v>3.5</v>
      </c>
      <c r="O7" s="60">
        <v>3.5</v>
      </c>
      <c r="P7" s="60">
        <v>4.0999999999999996</v>
      </c>
      <c r="Q7" s="60">
        <v>4.8</v>
      </c>
      <c r="R7" s="22" t="s">
        <v>43</v>
      </c>
      <c r="S7" s="3" t="s">
        <v>36</v>
      </c>
      <c r="T7" s="3">
        <v>7</v>
      </c>
      <c r="U7" s="37">
        <v>4</v>
      </c>
      <c r="V7" s="3"/>
      <c r="W7" s="17"/>
      <c r="X7" s="17"/>
      <c r="Y7" s="3">
        <v>4.3</v>
      </c>
      <c r="AA7" s="23"/>
      <c r="AB7" s="19" t="s">
        <v>44</v>
      </c>
    </row>
    <row r="8" spans="1:28">
      <c r="A8" s="2">
        <v>3</v>
      </c>
      <c r="B8" s="3" t="s">
        <v>45</v>
      </c>
      <c r="C8" s="3" t="s">
        <v>46</v>
      </c>
      <c r="D8" s="65" t="s">
        <v>47</v>
      </c>
      <c r="E8" s="3" t="s">
        <v>36</v>
      </c>
      <c r="F8" s="3" t="s">
        <v>38</v>
      </c>
      <c r="G8" s="37">
        <f>(5+5)/2</f>
        <v>5</v>
      </c>
      <c r="H8" s="3">
        <f>(5+5+5)/3</f>
        <v>5</v>
      </c>
      <c r="I8" s="17" t="s">
        <v>41</v>
      </c>
      <c r="J8" s="39">
        <f>(5+5)/2</f>
        <v>5</v>
      </c>
      <c r="K8" s="3">
        <f>(5+4+5+5+5)/5</f>
        <v>4.8</v>
      </c>
      <c r="L8" s="16"/>
      <c r="M8" s="46">
        <v>3.2</v>
      </c>
      <c r="N8" s="60">
        <v>5</v>
      </c>
      <c r="O8" s="60">
        <v>3.5</v>
      </c>
      <c r="P8" s="60">
        <v>4.8</v>
      </c>
      <c r="Q8" s="60">
        <v>1</v>
      </c>
      <c r="R8" s="3" t="s">
        <v>48</v>
      </c>
      <c r="S8" s="3" t="s">
        <v>49</v>
      </c>
      <c r="T8" s="3">
        <v>22</v>
      </c>
      <c r="U8" s="61">
        <v>5</v>
      </c>
      <c r="V8" s="22"/>
      <c r="W8" s="17"/>
      <c r="X8" s="17"/>
      <c r="Y8" s="3">
        <v>4</v>
      </c>
      <c r="AA8" s="26"/>
      <c r="AB8" s="19" t="s">
        <v>50</v>
      </c>
    </row>
    <row r="9" spans="1:28">
      <c r="A9" s="2">
        <v>4</v>
      </c>
      <c r="B9" s="3" t="s">
        <v>51</v>
      </c>
      <c r="C9" s="3" t="s">
        <v>52</v>
      </c>
      <c r="D9" s="65" t="s">
        <v>35</v>
      </c>
      <c r="E9" s="3" t="s">
        <v>36</v>
      </c>
      <c r="F9" s="3" t="s">
        <v>38</v>
      </c>
      <c r="G9" s="37">
        <f>(5+2)/2</f>
        <v>3.5</v>
      </c>
      <c r="H9" s="17">
        <f>(5+4.5+5)/3</f>
        <v>4.833333333333333</v>
      </c>
      <c r="I9" s="17" t="s">
        <v>41</v>
      </c>
      <c r="J9" s="39">
        <f>(4.8+5)/2</f>
        <v>4.9000000000000004</v>
      </c>
      <c r="K9" s="3">
        <f>(5+4+5+5+5)/5</f>
        <v>4.8</v>
      </c>
      <c r="L9" s="34"/>
      <c r="M9" s="17">
        <v>5</v>
      </c>
      <c r="N9" s="60">
        <v>5</v>
      </c>
      <c r="O9" s="60">
        <v>5</v>
      </c>
      <c r="P9" s="60">
        <v>4.3</v>
      </c>
      <c r="Q9" s="60">
        <v>4.9000000000000004</v>
      </c>
      <c r="R9" s="3" t="s">
        <v>53</v>
      </c>
      <c r="S9" s="3"/>
      <c r="T9" s="3">
        <v>5</v>
      </c>
      <c r="U9" s="37">
        <v>3.8</v>
      </c>
      <c r="V9" s="3"/>
      <c r="W9" s="17"/>
      <c r="X9" s="17"/>
      <c r="Y9" s="3">
        <v>4.9000000000000004</v>
      </c>
      <c r="AA9" s="27"/>
      <c r="AB9" s="19" t="s">
        <v>54</v>
      </c>
    </row>
    <row r="10" spans="1:28" s="2" customFormat="1" ht="14.25" customHeight="1">
      <c r="A10" s="2">
        <v>5</v>
      </c>
      <c r="B10" s="10" t="s">
        <v>55</v>
      </c>
      <c r="C10" s="10" t="s">
        <v>56</v>
      </c>
      <c r="D10" s="64" t="s">
        <v>47</v>
      </c>
      <c r="E10" s="3" t="s">
        <v>41</v>
      </c>
      <c r="F10" s="45">
        <v>3.5</v>
      </c>
      <c r="G10" s="17">
        <f>(4.5+F10)/2</f>
        <v>4</v>
      </c>
      <c r="H10" s="17">
        <f>(5+4+5)/3</f>
        <v>4.666666666666667</v>
      </c>
      <c r="I10" s="17" t="s">
        <v>41</v>
      </c>
      <c r="J10" s="40">
        <f>(4.7+5)/2</f>
        <v>4.8499999999999996</v>
      </c>
      <c r="K10" s="3">
        <f>(4.5+4+5+4.5+4.5)/5</f>
        <v>4.5</v>
      </c>
      <c r="L10" s="16"/>
      <c r="M10" s="46">
        <v>3.5</v>
      </c>
      <c r="N10" s="60">
        <v>5</v>
      </c>
      <c r="O10" s="60">
        <v>5</v>
      </c>
      <c r="P10" s="60">
        <v>4.8</v>
      </c>
      <c r="Q10" s="60">
        <v>4.9000000000000004</v>
      </c>
      <c r="R10" s="3" t="s">
        <v>57</v>
      </c>
      <c r="S10" s="3"/>
      <c r="T10" s="3">
        <v>4</v>
      </c>
      <c r="U10" s="62">
        <v>3.6</v>
      </c>
      <c r="V10" s="3"/>
      <c r="W10" s="17"/>
      <c r="X10" s="17"/>
      <c r="Y10" s="3">
        <v>4.9000000000000004</v>
      </c>
      <c r="AA10" s="25"/>
      <c r="AB10" s="19" t="s">
        <v>58</v>
      </c>
    </row>
    <row r="11" spans="1:28">
      <c r="A11" s="2">
        <v>6</v>
      </c>
      <c r="B11" s="3" t="s">
        <v>59</v>
      </c>
      <c r="C11" s="3" t="s">
        <v>60</v>
      </c>
      <c r="D11" s="65" t="s">
        <v>35</v>
      </c>
      <c r="E11" s="3">
        <v>1</v>
      </c>
      <c r="F11" s="3">
        <v>1</v>
      </c>
      <c r="G11" s="37">
        <f>(3.2+1)/2</f>
        <v>2.1</v>
      </c>
      <c r="H11" s="3">
        <v>1</v>
      </c>
      <c r="I11" s="17" t="s">
        <v>41</v>
      </c>
      <c r="J11" s="39">
        <f>(1+5)/2</f>
        <v>3</v>
      </c>
      <c r="K11" s="3">
        <f>(3.5+3.5+5+5+5)/5</f>
        <v>4.4000000000000004</v>
      </c>
      <c r="L11" s="16"/>
      <c r="M11" s="17">
        <v>1</v>
      </c>
      <c r="N11" s="60">
        <v>3.5</v>
      </c>
      <c r="O11" s="60">
        <v>3.5</v>
      </c>
      <c r="P11" s="60">
        <v>3.5</v>
      </c>
      <c r="Q11" s="60">
        <v>1</v>
      </c>
      <c r="R11" s="3" t="s">
        <v>61</v>
      </c>
      <c r="S11" s="3"/>
      <c r="T11" s="3">
        <v>2</v>
      </c>
      <c r="U11" s="43">
        <v>3.4</v>
      </c>
      <c r="V11" s="22"/>
      <c r="W11" s="17"/>
      <c r="X11" s="17"/>
      <c r="Y11" s="3">
        <v>4</v>
      </c>
      <c r="AA11" s="28"/>
      <c r="AB11" s="19" t="s">
        <v>62</v>
      </c>
    </row>
    <row r="12" spans="1:28">
      <c r="A12" s="2">
        <v>7</v>
      </c>
      <c r="B12" s="3" t="s">
        <v>63</v>
      </c>
      <c r="C12" s="3" t="s">
        <v>64</v>
      </c>
      <c r="D12" s="65" t="s">
        <v>47</v>
      </c>
      <c r="E12" s="3" t="s">
        <v>41</v>
      </c>
      <c r="F12" s="3">
        <v>1</v>
      </c>
      <c r="G12" s="38">
        <f>(4.5+1)/2</f>
        <v>2.75</v>
      </c>
      <c r="H12" s="17">
        <f>(2.5+4+5)/3</f>
        <v>3.8333333333333335</v>
      </c>
      <c r="I12" s="17">
        <v>1</v>
      </c>
      <c r="J12" s="39">
        <f>(3.8+I12)/2</f>
        <v>2.4</v>
      </c>
      <c r="K12" s="17">
        <f>(3.5+3.5+3.5+3.5+2)/5</f>
        <v>3.2</v>
      </c>
      <c r="L12" s="34"/>
      <c r="M12" s="17">
        <v>1</v>
      </c>
      <c r="N12" s="60">
        <v>1</v>
      </c>
      <c r="O12" s="60">
        <v>1</v>
      </c>
      <c r="P12" s="60">
        <v>4.0999999999999996</v>
      </c>
      <c r="Q12" s="60">
        <v>1</v>
      </c>
      <c r="R12" s="3" t="s">
        <v>53</v>
      </c>
      <c r="S12" s="3" t="s">
        <v>65</v>
      </c>
      <c r="T12" s="3">
        <v>12</v>
      </c>
      <c r="U12" s="61">
        <v>4.4000000000000004</v>
      </c>
      <c r="V12" s="3"/>
      <c r="W12" s="17"/>
      <c r="X12" s="17"/>
      <c r="Y12" s="3">
        <v>3.6</v>
      </c>
    </row>
    <row r="13" spans="1:28">
      <c r="A13" s="2">
        <v>8</v>
      </c>
      <c r="B13" s="3" t="s">
        <v>66</v>
      </c>
      <c r="C13" s="3" t="s">
        <v>67</v>
      </c>
      <c r="D13" s="65" t="s">
        <v>47</v>
      </c>
      <c r="E13" s="3" t="s">
        <v>41</v>
      </c>
      <c r="F13" s="3" t="s">
        <v>42</v>
      </c>
      <c r="G13" s="38">
        <f>(4.5+4)/2</f>
        <v>4.25</v>
      </c>
      <c r="H13" s="3">
        <f>(4.2+4+5)/3</f>
        <v>4.3999999999999995</v>
      </c>
      <c r="I13" s="17" t="s">
        <v>41</v>
      </c>
      <c r="J13" s="39">
        <f>(4.4+5)/2</f>
        <v>4.7</v>
      </c>
      <c r="K13" s="3">
        <f>(4+4+5+4.5+4.5)/5</f>
        <v>4.4000000000000004</v>
      </c>
      <c r="L13" s="16"/>
      <c r="M13" s="17">
        <v>5</v>
      </c>
      <c r="N13" s="60">
        <v>3.5</v>
      </c>
      <c r="O13" s="60">
        <v>5</v>
      </c>
      <c r="P13" s="60">
        <v>4.7</v>
      </c>
      <c r="Q13" s="60">
        <v>4.4000000000000004</v>
      </c>
      <c r="R13" s="3" t="s">
        <v>68</v>
      </c>
      <c r="S13" s="3" t="s">
        <v>69</v>
      </c>
      <c r="T13" s="3">
        <v>4</v>
      </c>
      <c r="U13" s="63">
        <v>3.6</v>
      </c>
      <c r="V13" s="3"/>
      <c r="W13" s="17"/>
      <c r="X13" s="17"/>
      <c r="Y13" s="3">
        <v>4.7</v>
      </c>
    </row>
    <row r="14" spans="1:28">
      <c r="A14" s="2">
        <v>9</v>
      </c>
      <c r="B14" s="3" t="s">
        <v>70</v>
      </c>
      <c r="C14" s="3" t="s">
        <v>71</v>
      </c>
      <c r="D14" s="65" t="s">
        <v>47</v>
      </c>
      <c r="E14" s="3" t="s">
        <v>41</v>
      </c>
      <c r="F14" s="3">
        <v>4.5</v>
      </c>
      <c r="G14" s="38">
        <f>(4.5+4.5)/2</f>
        <v>4.5</v>
      </c>
      <c r="H14" s="17">
        <f>(4.5+3.8+5)/3</f>
        <v>4.4333333333333336</v>
      </c>
      <c r="I14" s="17" t="s">
        <v>72</v>
      </c>
      <c r="J14" s="39">
        <f>(1+4)/2</f>
        <v>2.5</v>
      </c>
      <c r="K14" s="3">
        <f>(5+5+5+5+5)/5</f>
        <v>5</v>
      </c>
      <c r="L14" s="16"/>
      <c r="M14" s="17">
        <v>4</v>
      </c>
      <c r="N14" s="60">
        <v>3.5</v>
      </c>
      <c r="O14" s="60">
        <v>3.5</v>
      </c>
      <c r="P14" s="60">
        <v>4.3</v>
      </c>
      <c r="Q14" s="60">
        <v>5</v>
      </c>
      <c r="R14" s="3"/>
      <c r="S14" s="3"/>
      <c r="T14" s="3"/>
      <c r="U14" s="61">
        <v>3.2</v>
      </c>
      <c r="V14" s="3"/>
      <c r="W14" s="17"/>
      <c r="X14" s="17"/>
      <c r="Y14" s="3">
        <v>4</v>
      </c>
    </row>
    <row r="15" spans="1:28">
      <c r="A15" s="2">
        <v>10</v>
      </c>
      <c r="B15" s="3" t="s">
        <v>73</v>
      </c>
      <c r="C15" s="3" t="s">
        <v>74</v>
      </c>
      <c r="D15" s="65" t="s">
        <v>47</v>
      </c>
      <c r="E15" s="3" t="s">
        <v>41</v>
      </c>
      <c r="F15" s="45">
        <v>3.2</v>
      </c>
      <c r="G15" s="17">
        <f>(4.5+F15)/2</f>
        <v>3.85</v>
      </c>
      <c r="H15" s="17">
        <f>(3.5+4+3.5)/3</f>
        <v>3.6666666666666665</v>
      </c>
      <c r="I15" s="17" t="s">
        <v>72</v>
      </c>
      <c r="J15" s="40">
        <f>(3.7+4)/2</f>
        <v>3.85</v>
      </c>
      <c r="K15" s="3">
        <f>(3.5+4+5+4.5+4.5)/5</f>
        <v>4.3</v>
      </c>
      <c r="L15" s="16"/>
      <c r="M15" s="17">
        <v>5</v>
      </c>
      <c r="N15" s="60">
        <v>3.5</v>
      </c>
      <c r="O15" s="60">
        <v>4</v>
      </c>
      <c r="P15" s="60">
        <v>2</v>
      </c>
      <c r="Q15" s="60">
        <v>1</v>
      </c>
      <c r="R15" s="3"/>
      <c r="S15" s="3" t="s">
        <v>38</v>
      </c>
      <c r="T15" s="3">
        <v>5</v>
      </c>
      <c r="U15" s="61">
        <v>3.8</v>
      </c>
      <c r="V15" s="3"/>
      <c r="W15" s="17"/>
      <c r="X15" s="17"/>
      <c r="Y15" s="3">
        <v>3.7</v>
      </c>
    </row>
    <row r="16" spans="1:28">
      <c r="A16" s="2">
        <v>11</v>
      </c>
      <c r="B16" s="3" t="s">
        <v>75</v>
      </c>
      <c r="C16" s="3" t="s">
        <v>76</v>
      </c>
      <c r="D16" s="65" t="s">
        <v>35</v>
      </c>
      <c r="E16" s="3" t="s">
        <v>72</v>
      </c>
      <c r="F16" s="3">
        <v>1</v>
      </c>
      <c r="G16" s="38">
        <f>(3.5+1)/2</f>
        <v>2.25</v>
      </c>
      <c r="H16" s="3">
        <v>1</v>
      </c>
      <c r="I16" s="17" t="s">
        <v>41</v>
      </c>
      <c r="J16" s="39">
        <f>(1+5)/2</f>
        <v>3</v>
      </c>
      <c r="K16" s="3">
        <f>(4.5+4+5+5+5)/5</f>
        <v>4.7</v>
      </c>
      <c r="L16" s="16">
        <v>5</v>
      </c>
      <c r="M16" s="17">
        <v>5</v>
      </c>
      <c r="N16" s="60">
        <v>4.0999999999999996</v>
      </c>
      <c r="O16" s="60">
        <v>4.0999999999999996</v>
      </c>
      <c r="P16" s="60">
        <v>4.8</v>
      </c>
      <c r="Q16" s="60">
        <v>5</v>
      </c>
      <c r="R16" s="22" t="s">
        <v>77</v>
      </c>
      <c r="S16" s="3" t="s">
        <v>65</v>
      </c>
      <c r="T16" s="3">
        <v>16</v>
      </c>
      <c r="U16" s="61">
        <v>4.5999999999999996</v>
      </c>
      <c r="V16" s="3"/>
      <c r="W16" s="17"/>
      <c r="X16" s="17"/>
      <c r="Y16" s="3"/>
    </row>
    <row r="17" spans="1:25">
      <c r="A17" s="2">
        <v>12</v>
      </c>
      <c r="B17" s="3" t="s">
        <v>59</v>
      </c>
      <c r="C17" s="3" t="s">
        <v>78</v>
      </c>
      <c r="D17" s="65" t="s">
        <v>47</v>
      </c>
      <c r="E17" s="3">
        <v>1</v>
      </c>
      <c r="F17" s="45">
        <v>3.2</v>
      </c>
      <c r="G17" s="3">
        <f>(3.2+F17)/2</f>
        <v>3.2</v>
      </c>
      <c r="H17" s="17">
        <f>(4.2+2.5+5)/3</f>
        <v>3.9</v>
      </c>
      <c r="I17" s="17" t="s">
        <v>72</v>
      </c>
      <c r="J17" s="40">
        <f>(3.9+4)/2</f>
        <v>3.95</v>
      </c>
      <c r="K17" s="17">
        <f>(3.5+3.5+3.5+3.5+2)/5</f>
        <v>3.2</v>
      </c>
      <c r="L17" s="16"/>
      <c r="M17" s="46">
        <v>3.2</v>
      </c>
      <c r="N17" s="60">
        <v>3.2</v>
      </c>
      <c r="O17" s="60">
        <v>3.2</v>
      </c>
      <c r="P17" s="60">
        <v>1</v>
      </c>
      <c r="Q17" s="60">
        <v>2.7</v>
      </c>
      <c r="R17" s="22" t="s">
        <v>79</v>
      </c>
      <c r="S17" s="3" t="s">
        <v>49</v>
      </c>
      <c r="T17" s="3">
        <v>12</v>
      </c>
      <c r="U17" s="61">
        <v>4.4000000000000004</v>
      </c>
      <c r="V17" s="3"/>
      <c r="W17" s="17"/>
      <c r="X17" s="17"/>
      <c r="Y17" s="3">
        <v>4.2</v>
      </c>
    </row>
    <row r="18" spans="1:25" ht="14.25" customHeight="1">
      <c r="A18" s="2">
        <v>13</v>
      </c>
      <c r="B18" s="3" t="s">
        <v>80</v>
      </c>
      <c r="C18" s="3" t="s">
        <v>81</v>
      </c>
      <c r="D18" s="65" t="s">
        <v>35</v>
      </c>
      <c r="E18" s="3" t="s">
        <v>72</v>
      </c>
      <c r="F18" s="45">
        <v>3.2</v>
      </c>
      <c r="G18" s="17">
        <f>(3.5+F18)/2</f>
        <v>3.35</v>
      </c>
      <c r="H18" s="17">
        <f>(5+4+5)/3</f>
        <v>4.666666666666667</v>
      </c>
      <c r="I18" s="17" t="s">
        <v>41</v>
      </c>
      <c r="J18" s="40">
        <f>(4.7+5)/2</f>
        <v>4.8499999999999996</v>
      </c>
      <c r="K18" s="3">
        <f>(4+4+5+5+5)/5</f>
        <v>4.5999999999999996</v>
      </c>
      <c r="L18" s="34"/>
      <c r="M18" s="46">
        <v>3.2</v>
      </c>
      <c r="N18" s="60">
        <v>2.5</v>
      </c>
      <c r="O18" s="60">
        <v>1</v>
      </c>
      <c r="P18" s="60">
        <v>1</v>
      </c>
      <c r="Q18" s="60">
        <v>2</v>
      </c>
      <c r="R18" s="3" t="s">
        <v>68</v>
      </c>
      <c r="S18" s="3"/>
      <c r="T18" s="3">
        <v>1</v>
      </c>
      <c r="U18" s="61">
        <v>3.4</v>
      </c>
      <c r="V18" s="3"/>
      <c r="W18" s="17"/>
      <c r="X18" s="17"/>
      <c r="Y18" s="3">
        <v>3.7</v>
      </c>
    </row>
    <row r="19" spans="1:25">
      <c r="A19" s="2">
        <v>14</v>
      </c>
      <c r="B19" s="3" t="s">
        <v>82</v>
      </c>
      <c r="C19" s="3" t="s">
        <v>83</v>
      </c>
      <c r="D19" s="65" t="s">
        <v>35</v>
      </c>
      <c r="E19" s="3" t="s">
        <v>41</v>
      </c>
      <c r="F19" s="3">
        <v>5</v>
      </c>
      <c r="G19" s="38">
        <f>(4.5+5)/2</f>
        <v>4.75</v>
      </c>
      <c r="H19" s="3">
        <v>5</v>
      </c>
      <c r="I19" s="17" t="s">
        <v>41</v>
      </c>
      <c r="J19" s="39">
        <f>(5+5)/2</f>
        <v>5</v>
      </c>
      <c r="K19" s="3">
        <f>(4.5+4+5+5+5)/5</f>
        <v>4.7</v>
      </c>
      <c r="L19" s="16">
        <v>5</v>
      </c>
      <c r="M19" s="17">
        <v>5</v>
      </c>
      <c r="N19" s="60">
        <v>5</v>
      </c>
      <c r="O19" s="60">
        <v>5</v>
      </c>
      <c r="P19" s="60">
        <v>4.8</v>
      </c>
      <c r="Q19" s="60">
        <v>5</v>
      </c>
      <c r="R19" s="3" t="s">
        <v>84</v>
      </c>
      <c r="S19" s="3" t="s">
        <v>85</v>
      </c>
      <c r="T19" s="3">
        <v>19</v>
      </c>
      <c r="U19" s="63">
        <v>4.8</v>
      </c>
      <c r="V19" s="3"/>
      <c r="W19" s="17"/>
      <c r="X19" s="17"/>
      <c r="Y19" s="3">
        <v>4</v>
      </c>
    </row>
    <row r="20" spans="1:25">
      <c r="A20" s="2">
        <v>15</v>
      </c>
      <c r="B20" s="3" t="s">
        <v>86</v>
      </c>
      <c r="C20" s="3" t="s">
        <v>87</v>
      </c>
      <c r="D20" s="65" t="s">
        <v>35</v>
      </c>
      <c r="E20" s="3" t="s">
        <v>72</v>
      </c>
      <c r="F20" s="3" t="s">
        <v>42</v>
      </c>
      <c r="G20" s="38">
        <f>(3.5+4)/2</f>
        <v>3.75</v>
      </c>
      <c r="H20" s="17">
        <f>(4.5+3.3+5)/3</f>
        <v>4.2666666666666666</v>
      </c>
      <c r="I20" s="17" t="s">
        <v>72</v>
      </c>
      <c r="J20" s="40">
        <f>(4.3+4)/2</f>
        <v>4.1500000000000004</v>
      </c>
      <c r="K20" s="3">
        <f>(4+4+5+5+5)/5</f>
        <v>4.5999999999999996</v>
      </c>
      <c r="L20" s="16"/>
      <c r="M20" s="17">
        <v>5</v>
      </c>
      <c r="N20" s="60">
        <v>5</v>
      </c>
      <c r="O20" s="60">
        <v>3.5</v>
      </c>
      <c r="P20" s="60">
        <v>3.7</v>
      </c>
      <c r="Q20" s="60">
        <v>1</v>
      </c>
      <c r="R20" s="22"/>
      <c r="S20" s="3" t="s">
        <v>41</v>
      </c>
      <c r="T20" s="3">
        <v>2</v>
      </c>
      <c r="U20" s="61">
        <v>3.4</v>
      </c>
      <c r="V20" s="3"/>
      <c r="W20" s="17"/>
      <c r="X20" s="17"/>
      <c r="Y20" s="3">
        <v>4.4000000000000004</v>
      </c>
    </row>
    <row r="21" spans="1:25">
      <c r="A21" s="2">
        <v>16</v>
      </c>
      <c r="B21" s="3" t="s">
        <v>88</v>
      </c>
      <c r="C21" s="3" t="s">
        <v>89</v>
      </c>
      <c r="D21" s="65" t="s">
        <v>47</v>
      </c>
      <c r="E21" s="3">
        <v>1</v>
      </c>
      <c r="F21" s="3">
        <v>1</v>
      </c>
      <c r="G21" s="37">
        <f>(3.2+1)/2</f>
        <v>2.1</v>
      </c>
      <c r="H21" s="17">
        <f>(2+2.5+3.5)/3</f>
        <v>2.6666666666666665</v>
      </c>
      <c r="I21" s="17">
        <v>1</v>
      </c>
      <c r="J21" s="40">
        <f>(H21+1)/2</f>
        <v>1.8333333333333333</v>
      </c>
      <c r="K21" s="17">
        <f>(3.5+3.5+3.5+3.5+2)/5</f>
        <v>3.2</v>
      </c>
      <c r="L21" s="16"/>
      <c r="M21" s="17">
        <v>1</v>
      </c>
      <c r="N21" s="60">
        <v>5</v>
      </c>
      <c r="O21" s="60">
        <v>2.5</v>
      </c>
      <c r="P21" s="60">
        <v>3.5</v>
      </c>
      <c r="Q21" s="60">
        <v>1</v>
      </c>
      <c r="R21" s="3"/>
      <c r="S21" s="3" t="s">
        <v>41</v>
      </c>
      <c r="T21" s="3">
        <v>2</v>
      </c>
      <c r="U21" s="61">
        <v>3.4</v>
      </c>
      <c r="V21" s="3"/>
      <c r="W21" s="17"/>
      <c r="X21" s="17"/>
      <c r="Y21" s="3">
        <v>4</v>
      </c>
    </row>
    <row r="22" spans="1:25">
      <c r="A22" s="2">
        <v>17</v>
      </c>
      <c r="B22" s="3" t="s">
        <v>90</v>
      </c>
      <c r="C22" s="3" t="s">
        <v>91</v>
      </c>
      <c r="D22" s="65" t="s">
        <v>35</v>
      </c>
      <c r="E22" s="3">
        <v>1</v>
      </c>
      <c r="F22" s="3">
        <v>1</v>
      </c>
      <c r="G22" s="37">
        <f>(3.2+1)/2</f>
        <v>2.1</v>
      </c>
      <c r="H22" s="45">
        <v>3.5</v>
      </c>
      <c r="I22" s="17">
        <v>1</v>
      </c>
      <c r="J22" s="51">
        <f>(H22+1)/2</f>
        <v>2.25</v>
      </c>
      <c r="K22" s="3">
        <f>(5+5+5+5+5)/5</f>
        <v>5</v>
      </c>
      <c r="L22" s="16"/>
      <c r="M22" s="17">
        <v>1</v>
      </c>
      <c r="N22" s="60">
        <v>3.2</v>
      </c>
      <c r="O22" s="60">
        <v>3.2</v>
      </c>
      <c r="P22" s="60">
        <v>2</v>
      </c>
      <c r="Q22" s="60">
        <v>4.3</v>
      </c>
      <c r="R22" s="3"/>
      <c r="S22" s="3"/>
      <c r="T22" s="3"/>
      <c r="U22" s="63">
        <v>3.2</v>
      </c>
      <c r="V22" s="3"/>
      <c r="W22" s="17"/>
      <c r="X22" s="17"/>
      <c r="Y22" s="3"/>
    </row>
    <row r="23" spans="1:25">
      <c r="A23" s="2">
        <v>18</v>
      </c>
      <c r="B23" s="3" t="s">
        <v>82</v>
      </c>
      <c r="C23" s="3" t="s">
        <v>92</v>
      </c>
      <c r="D23" s="65" t="s">
        <v>35</v>
      </c>
      <c r="E23" s="3">
        <v>1</v>
      </c>
      <c r="F23" s="3">
        <v>1</v>
      </c>
      <c r="G23" s="37">
        <f>(3.2+1)/2</f>
        <v>2.1</v>
      </c>
      <c r="H23" s="3">
        <v>1</v>
      </c>
      <c r="I23" s="17" t="s">
        <v>41</v>
      </c>
      <c r="J23" s="39">
        <f>(H23+5)/2</f>
        <v>3</v>
      </c>
      <c r="K23" s="3">
        <f>(4+5+5+5+5)/5</f>
        <v>4.8</v>
      </c>
      <c r="L23" s="34"/>
      <c r="M23" s="17">
        <v>1</v>
      </c>
      <c r="N23" s="60">
        <v>1</v>
      </c>
      <c r="O23" s="60">
        <v>1</v>
      </c>
      <c r="P23" s="60">
        <v>2.4</v>
      </c>
      <c r="Q23" s="60">
        <v>1</v>
      </c>
      <c r="R23" s="3"/>
      <c r="S23" s="3"/>
      <c r="T23" s="3"/>
      <c r="U23" s="61">
        <v>3.2</v>
      </c>
      <c r="V23" s="3"/>
      <c r="W23" s="17"/>
      <c r="X23" s="17"/>
      <c r="Y23" s="3"/>
    </row>
    <row r="24" spans="1:25">
      <c r="A24" s="2">
        <v>19</v>
      </c>
      <c r="B24" s="3" t="s">
        <v>93</v>
      </c>
      <c r="C24" s="3" t="s">
        <v>94</v>
      </c>
      <c r="D24" s="65" t="s">
        <v>47</v>
      </c>
      <c r="E24" s="3" t="s">
        <v>41</v>
      </c>
      <c r="F24" s="45">
        <v>3.5</v>
      </c>
      <c r="G24" s="17">
        <f>(4.5+F24)/2</f>
        <v>4</v>
      </c>
      <c r="H24" s="17">
        <f>(2.5+4+5)/3</f>
        <v>3.8333333333333335</v>
      </c>
      <c r="I24" s="17" t="s">
        <v>41</v>
      </c>
      <c r="J24" s="39">
        <f>(3.8+5)/2</f>
        <v>4.4000000000000004</v>
      </c>
      <c r="K24" s="3">
        <v>1</v>
      </c>
      <c r="L24" s="16"/>
      <c r="M24" s="17">
        <v>1</v>
      </c>
      <c r="N24" s="17">
        <v>1</v>
      </c>
      <c r="O24" s="60">
        <v>1</v>
      </c>
      <c r="P24" s="60">
        <v>2</v>
      </c>
      <c r="Q24" s="60">
        <v>4.2</v>
      </c>
      <c r="R24" s="3"/>
      <c r="S24" s="3"/>
      <c r="T24" s="3"/>
      <c r="U24" s="61">
        <v>3.2</v>
      </c>
      <c r="V24" s="3"/>
      <c r="W24" s="17"/>
      <c r="X24" s="17"/>
      <c r="Y24" s="3">
        <v>4</v>
      </c>
    </row>
    <row r="27" spans="1:25">
      <c r="B27" s="1" t="s">
        <v>95</v>
      </c>
    </row>
    <row r="28" spans="1:25">
      <c r="O28" s="1">
        <v>5</v>
      </c>
      <c r="P28" s="1" t="s">
        <v>96</v>
      </c>
    </row>
    <row r="29" spans="1:25">
      <c r="A29" s="1">
        <v>1</v>
      </c>
      <c r="B29" s="1" t="s">
        <v>97</v>
      </c>
      <c r="C29" s="48" t="s">
        <v>98</v>
      </c>
      <c r="O29" s="1">
        <v>4.8</v>
      </c>
      <c r="P29" s="1" t="s">
        <v>99</v>
      </c>
    </row>
    <row r="30" spans="1:25">
      <c r="B30" s="1" t="s">
        <v>66</v>
      </c>
      <c r="C30" s="48"/>
      <c r="O30" s="1">
        <v>4.5999999999999996</v>
      </c>
      <c r="P30" s="1" t="s">
        <v>100</v>
      </c>
    </row>
    <row r="31" spans="1:25">
      <c r="B31" s="1" t="s">
        <v>55</v>
      </c>
      <c r="C31" s="48"/>
      <c r="O31" s="1">
        <v>4.4000000000000004</v>
      </c>
      <c r="P31" s="1" t="s">
        <v>101</v>
      </c>
    </row>
    <row r="32" spans="1:25">
      <c r="C32" s="48"/>
      <c r="O32" s="1">
        <v>4.2</v>
      </c>
      <c r="P32" s="1" t="s">
        <v>102</v>
      </c>
    </row>
    <row r="33" spans="1:16">
      <c r="C33" s="48"/>
      <c r="O33" s="1">
        <v>4</v>
      </c>
      <c r="P33" s="1" t="s">
        <v>103</v>
      </c>
    </row>
    <row r="34" spans="1:16">
      <c r="A34" s="1">
        <v>2</v>
      </c>
      <c r="B34" s="1" t="s">
        <v>86</v>
      </c>
      <c r="C34" s="48" t="s">
        <v>104</v>
      </c>
      <c r="O34" s="1">
        <v>3.8</v>
      </c>
      <c r="P34" s="1" t="s">
        <v>105</v>
      </c>
    </row>
    <row r="35" spans="1:16">
      <c r="B35" s="1" t="s">
        <v>80</v>
      </c>
      <c r="C35" s="48"/>
      <c r="O35" s="1">
        <v>3.6</v>
      </c>
      <c r="P35" s="1" t="s">
        <v>106</v>
      </c>
    </row>
    <row r="36" spans="1:16">
      <c r="B36" s="1" t="s">
        <v>39</v>
      </c>
      <c r="C36" s="48"/>
      <c r="O36" s="1">
        <v>3.4</v>
      </c>
      <c r="P36" s="1" t="s">
        <v>107</v>
      </c>
    </row>
    <row r="37" spans="1:16">
      <c r="C37" s="48"/>
      <c r="O37" s="1">
        <v>3.2</v>
      </c>
    </row>
    <row r="38" spans="1:16">
      <c r="C38" s="48"/>
    </row>
    <row r="39" spans="1:16">
      <c r="A39" s="1">
        <v>3</v>
      </c>
      <c r="B39" s="1" t="s">
        <v>51</v>
      </c>
      <c r="C39" s="48" t="s">
        <v>108</v>
      </c>
    </row>
    <row r="40" spans="1:16">
      <c r="B40" s="1" t="s">
        <v>33</v>
      </c>
      <c r="C40" s="48"/>
    </row>
    <row r="41" spans="1:16">
      <c r="B41" s="1" t="s">
        <v>109</v>
      </c>
      <c r="C41" s="48"/>
    </row>
    <row r="42" spans="1:16">
      <c r="C42" s="48"/>
    </row>
    <row r="43" spans="1:16">
      <c r="C43" s="48"/>
    </row>
    <row r="44" spans="1:16">
      <c r="A44" s="1">
        <v>4</v>
      </c>
      <c r="B44" s="1" t="s">
        <v>110</v>
      </c>
      <c r="C44" s="48" t="s">
        <v>111</v>
      </c>
    </row>
    <row r="45" spans="1:16">
      <c r="B45" s="1" t="s">
        <v>112</v>
      </c>
      <c r="C45" s="48"/>
    </row>
    <row r="46" spans="1:16">
      <c r="B46" s="1" t="s">
        <v>113</v>
      </c>
      <c r="C46" s="48"/>
    </row>
    <row r="47" spans="1:16">
      <c r="C47" s="48"/>
    </row>
    <row r="48" spans="1:16">
      <c r="C48" s="48"/>
    </row>
    <row r="49" spans="1:3">
      <c r="A49" s="1">
        <v>5</v>
      </c>
      <c r="B49" s="1" t="s">
        <v>75</v>
      </c>
      <c r="C49" s="48" t="s">
        <v>114</v>
      </c>
    </row>
    <row r="50" spans="1:3">
      <c r="B50" s="1" t="s">
        <v>90</v>
      </c>
      <c r="C50" s="48"/>
    </row>
    <row r="51" spans="1:3">
      <c r="B51" s="1" t="s">
        <v>115</v>
      </c>
      <c r="C51" s="48"/>
    </row>
    <row r="52" spans="1:3">
      <c r="B52" s="1" t="s">
        <v>116</v>
      </c>
      <c r="C52" s="48"/>
    </row>
    <row r="53" spans="1:3">
      <c r="C53" s="48"/>
    </row>
    <row r="54" spans="1:3">
      <c r="A54" s="1">
        <v>6</v>
      </c>
      <c r="B54" s="1" t="s">
        <v>117</v>
      </c>
      <c r="C54" s="48" t="s">
        <v>118</v>
      </c>
    </row>
    <row r="55" spans="1:3">
      <c r="B55" s="1" t="s">
        <v>119</v>
      </c>
    </row>
    <row r="56" spans="1:3">
      <c r="B56" s="1" t="s">
        <v>120</v>
      </c>
    </row>
  </sheetData>
  <mergeCells count="10">
    <mergeCell ref="B2:Y2"/>
    <mergeCell ref="B4:B5"/>
    <mergeCell ref="C4:C5"/>
    <mergeCell ref="D4:D5"/>
    <mergeCell ref="E4:L4"/>
    <mergeCell ref="M4:Q4"/>
    <mergeCell ref="R4:Y4"/>
    <mergeCell ref="U3:V3"/>
    <mergeCell ref="L3:M3"/>
    <mergeCell ref="W3:X3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E62"/>
  <sheetViews>
    <sheetView tabSelected="1" zoomScale="130" zoomScaleNormal="130" workbookViewId="0">
      <pane xSplit="4" ySplit="5" topLeftCell="M8" activePane="bottomRight" state="frozen"/>
      <selection pane="bottomRight" activeCell="T28" sqref="T8:T28"/>
      <selection pane="bottomLeft" activeCell="A6" sqref="A6"/>
      <selection pane="topRight" activeCell="F1" sqref="F1"/>
    </sheetView>
  </sheetViews>
  <sheetFormatPr defaultColWidth="11.42578125" defaultRowHeight="16.5"/>
  <cols>
    <col min="1" max="1" width="3.5703125" style="1" customWidth="1"/>
    <col min="2" max="2" width="18.42578125" style="1" customWidth="1"/>
    <col min="3" max="3" width="22.85546875" style="1" customWidth="1"/>
    <col min="4" max="4" width="5.7109375" style="2" customWidth="1"/>
    <col min="5" max="5" width="6" style="1" hidden="1" customWidth="1"/>
    <col min="6" max="6" width="7.28515625" style="1" hidden="1" customWidth="1"/>
    <col min="7" max="7" width="6.7109375" style="1" hidden="1" customWidth="1"/>
    <col min="8" max="8" width="6" style="1" customWidth="1"/>
    <col min="9" max="10" width="6.28515625" style="1" customWidth="1"/>
    <col min="11" max="11" width="5" style="1" customWidth="1"/>
    <col min="12" max="12" width="5.7109375" style="1" customWidth="1"/>
    <col min="13" max="15" width="6" style="1" customWidth="1"/>
    <col min="16" max="16" width="7.5703125" style="1" customWidth="1"/>
    <col min="17" max="18" width="7.140625" style="1" hidden="1" customWidth="1"/>
    <col min="19" max="19" width="7.42578125" style="1" hidden="1" customWidth="1"/>
    <col min="20" max="20" width="5.5703125" style="1" customWidth="1"/>
    <col min="21" max="22" width="5.85546875" style="1" hidden="1" customWidth="1"/>
    <col min="23" max="23" width="4.7109375" style="1" hidden="1" customWidth="1"/>
    <col min="24" max="25" width="7.28515625" style="1" customWidth="1"/>
    <col min="26" max="26" width="8.7109375" style="1" customWidth="1"/>
    <col min="27" max="27" width="1.7109375" style="1" customWidth="1"/>
    <col min="28" max="28" width="3.28515625" style="1" customWidth="1"/>
    <col min="29" max="16384" width="11.42578125" style="1"/>
  </cols>
  <sheetData>
    <row r="2" spans="1:31">
      <c r="B2" s="68" t="s">
        <v>0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spans="1:31" ht="15" customHeight="1">
      <c r="B3" s="7" t="s">
        <v>1</v>
      </c>
      <c r="C3" s="6" t="s">
        <v>2</v>
      </c>
      <c r="D3" s="6"/>
      <c r="E3" s="11"/>
      <c r="F3" s="11"/>
      <c r="G3" s="11"/>
      <c r="H3" s="11"/>
      <c r="I3" s="11"/>
      <c r="J3" s="11"/>
      <c r="K3" s="11"/>
      <c r="L3" s="80" t="s">
        <v>3</v>
      </c>
      <c r="M3" s="80"/>
      <c r="N3" s="80" t="s">
        <v>4</v>
      </c>
      <c r="O3" s="80"/>
      <c r="P3" s="11" t="s">
        <v>5</v>
      </c>
      <c r="Q3" s="14" t="s">
        <v>121</v>
      </c>
      <c r="R3" s="11"/>
      <c r="S3" s="11"/>
      <c r="T3" s="8">
        <v>7</v>
      </c>
      <c r="U3" s="8"/>
      <c r="V3" s="8"/>
      <c r="W3" s="8"/>
      <c r="X3" s="80" t="s">
        <v>7</v>
      </c>
      <c r="Y3" s="80"/>
      <c r="Z3" s="8" t="s">
        <v>8</v>
      </c>
    </row>
    <row r="4" spans="1:31" s="2" customFormat="1" ht="15" customHeight="1">
      <c r="B4" s="70" t="s">
        <v>9</v>
      </c>
      <c r="C4" s="70" t="s">
        <v>10</v>
      </c>
      <c r="D4" s="72" t="s">
        <v>11</v>
      </c>
      <c r="E4" s="74" t="s">
        <v>12</v>
      </c>
      <c r="F4" s="75"/>
      <c r="G4" s="75"/>
      <c r="H4" s="75"/>
      <c r="I4" s="75"/>
      <c r="J4" s="75"/>
      <c r="K4" s="75"/>
      <c r="L4" s="76"/>
      <c r="M4" s="77" t="s">
        <v>13</v>
      </c>
      <c r="N4" s="78"/>
      <c r="O4" s="78"/>
      <c r="P4" s="79"/>
      <c r="Q4" s="77" t="s">
        <v>14</v>
      </c>
      <c r="R4" s="78"/>
      <c r="S4" s="78"/>
      <c r="T4" s="78"/>
      <c r="U4" s="78"/>
      <c r="V4" s="78"/>
      <c r="W4" s="78"/>
      <c r="X4" s="78"/>
      <c r="Y4" s="78"/>
      <c r="Z4" s="79"/>
    </row>
    <row r="5" spans="1:31" ht="24.75" customHeight="1">
      <c r="A5" s="2"/>
      <c r="B5" s="71"/>
      <c r="C5" s="71"/>
      <c r="D5" s="73"/>
      <c r="E5" s="12" t="s">
        <v>15</v>
      </c>
      <c r="F5" s="32" t="s">
        <v>16</v>
      </c>
      <c r="G5" s="12" t="s">
        <v>122</v>
      </c>
      <c r="H5" s="12" t="s">
        <v>17</v>
      </c>
      <c r="I5" s="12" t="s">
        <v>123</v>
      </c>
      <c r="J5" s="12"/>
      <c r="K5" s="13" t="s">
        <v>21</v>
      </c>
      <c r="L5" s="13" t="s">
        <v>22</v>
      </c>
      <c r="M5" s="12" t="s">
        <v>124</v>
      </c>
      <c r="N5" s="12" t="s">
        <v>125</v>
      </c>
      <c r="O5" s="12" t="s">
        <v>26</v>
      </c>
      <c r="P5" s="12" t="s">
        <v>27</v>
      </c>
      <c r="Q5" s="12" t="s">
        <v>126</v>
      </c>
      <c r="R5" s="12" t="s">
        <v>29</v>
      </c>
      <c r="S5" s="12" t="s">
        <v>30</v>
      </c>
      <c r="T5" s="12" t="s">
        <v>127</v>
      </c>
      <c r="U5" s="12" t="s">
        <v>128</v>
      </c>
      <c r="V5" s="12" t="s">
        <v>129</v>
      </c>
      <c r="W5" s="12" t="s">
        <v>130</v>
      </c>
      <c r="X5" s="12" t="s">
        <v>131</v>
      </c>
      <c r="Y5" s="12"/>
      <c r="Z5" s="13" t="s">
        <v>32</v>
      </c>
    </row>
    <row r="6" spans="1:31" ht="15" customHeight="1">
      <c r="A6" s="2">
        <v>1</v>
      </c>
      <c r="B6" s="3" t="s">
        <v>132</v>
      </c>
      <c r="C6" s="3" t="s">
        <v>133</v>
      </c>
      <c r="D6" s="4" t="s">
        <v>134</v>
      </c>
      <c r="E6" s="3">
        <v>5</v>
      </c>
      <c r="F6" s="3">
        <v>5</v>
      </c>
      <c r="G6" s="3">
        <v>5</v>
      </c>
      <c r="H6" s="38">
        <f>(E6+F6+G6)/3</f>
        <v>5</v>
      </c>
      <c r="I6" s="3">
        <v>5</v>
      </c>
      <c r="J6" s="3"/>
      <c r="K6" s="3">
        <f>(5+5+5+5+3.5)/5</f>
        <v>4.7</v>
      </c>
      <c r="L6" s="3"/>
      <c r="M6" s="3">
        <v>2.5</v>
      </c>
      <c r="N6" s="3">
        <v>1</v>
      </c>
      <c r="O6" s="37">
        <v>4.5</v>
      </c>
      <c r="P6" s="17">
        <v>1</v>
      </c>
      <c r="Q6" s="3" t="s">
        <v>135</v>
      </c>
      <c r="R6" s="3" t="s">
        <v>136</v>
      </c>
      <c r="S6" s="3">
        <v>16</v>
      </c>
      <c r="T6" s="37">
        <v>5</v>
      </c>
      <c r="U6" s="17" t="s">
        <v>38</v>
      </c>
      <c r="V6" s="29"/>
      <c r="W6" s="29">
        <v>5</v>
      </c>
      <c r="X6" s="17">
        <v>4.5999999999999996</v>
      </c>
      <c r="Y6" s="17" t="s">
        <v>137</v>
      </c>
      <c r="Z6" s="3">
        <v>4.9000000000000004</v>
      </c>
    </row>
    <row r="7" spans="1:31" s="2" customFormat="1" ht="15" customHeight="1">
      <c r="A7" s="2">
        <v>2</v>
      </c>
      <c r="B7" s="10" t="s">
        <v>138</v>
      </c>
      <c r="C7" s="10" t="s">
        <v>139</v>
      </c>
      <c r="D7" s="9" t="s">
        <v>140</v>
      </c>
      <c r="E7" s="3">
        <v>5</v>
      </c>
      <c r="F7" s="3">
        <v>5</v>
      </c>
      <c r="G7" s="3">
        <v>5</v>
      </c>
      <c r="H7" s="66">
        <f>(E7+F7+G7)/3</f>
        <v>5</v>
      </c>
      <c r="I7" s="3">
        <v>5</v>
      </c>
      <c r="J7" s="16"/>
      <c r="K7" s="3">
        <f>(3.2+3.5+3.5+3.5+5)/5</f>
        <v>3.7399999999999998</v>
      </c>
      <c r="L7" s="3"/>
      <c r="M7" s="61">
        <v>3.8</v>
      </c>
      <c r="N7" s="61">
        <v>5</v>
      </c>
      <c r="O7" s="67">
        <v>4</v>
      </c>
      <c r="P7" s="83">
        <v>4.5999999999999996</v>
      </c>
      <c r="Q7" s="3" t="s">
        <v>141</v>
      </c>
      <c r="R7" s="3"/>
      <c r="S7" s="3">
        <v>7</v>
      </c>
      <c r="T7" s="37">
        <v>4.2</v>
      </c>
      <c r="U7" s="17" t="s">
        <v>38</v>
      </c>
      <c r="V7" s="29"/>
      <c r="W7" s="29">
        <v>5</v>
      </c>
      <c r="X7" s="17">
        <v>4.5999999999999996</v>
      </c>
      <c r="Y7" s="17" t="s">
        <v>38</v>
      </c>
      <c r="Z7" s="3">
        <v>4.4000000000000004</v>
      </c>
      <c r="AB7" s="23"/>
      <c r="AC7" s="19" t="s">
        <v>44</v>
      </c>
    </row>
    <row r="8" spans="1:31">
      <c r="A8" s="2">
        <v>3</v>
      </c>
      <c r="B8" s="3" t="s">
        <v>142</v>
      </c>
      <c r="C8" s="3" t="s">
        <v>143</v>
      </c>
      <c r="D8" s="4" t="s">
        <v>140</v>
      </c>
      <c r="E8" s="3">
        <v>5</v>
      </c>
      <c r="F8" s="3">
        <v>5</v>
      </c>
      <c r="G8" s="3">
        <v>5</v>
      </c>
      <c r="H8" s="66">
        <f t="shared" ref="H8:H28" si="0">(E8+F8+G8)/3</f>
        <v>5</v>
      </c>
      <c r="I8" s="3">
        <v>4</v>
      </c>
      <c r="J8" s="3"/>
      <c r="K8" s="3">
        <f>(3.5+3.5+3.5+3.5+5)/5</f>
        <v>3.8</v>
      </c>
      <c r="L8" s="3"/>
      <c r="M8" s="61">
        <v>5</v>
      </c>
      <c r="N8" s="61">
        <v>4.5</v>
      </c>
      <c r="O8" s="67">
        <v>3.2</v>
      </c>
      <c r="P8" s="67">
        <v>4.0999999999999996</v>
      </c>
      <c r="Q8" s="3" t="s">
        <v>135</v>
      </c>
      <c r="R8" s="3" t="s">
        <v>41</v>
      </c>
      <c r="S8" s="3">
        <v>13</v>
      </c>
      <c r="T8" s="67">
        <v>4.8</v>
      </c>
      <c r="U8" s="17" t="s">
        <v>72</v>
      </c>
      <c r="V8" s="29"/>
      <c r="W8" s="29">
        <v>1</v>
      </c>
      <c r="X8" s="17">
        <v>3.8</v>
      </c>
      <c r="Y8" s="17"/>
      <c r="Z8" s="3">
        <v>4.5</v>
      </c>
      <c r="AB8" s="26"/>
      <c r="AC8" s="19" t="s">
        <v>50</v>
      </c>
    </row>
    <row r="9" spans="1:31">
      <c r="A9" s="2">
        <v>4</v>
      </c>
      <c r="B9" s="3" t="s">
        <v>144</v>
      </c>
      <c r="C9" s="3" t="s">
        <v>145</v>
      </c>
      <c r="D9" s="4" t="s">
        <v>134</v>
      </c>
      <c r="E9" s="3">
        <v>4.5</v>
      </c>
      <c r="F9" s="3">
        <v>5</v>
      </c>
      <c r="G9" s="3">
        <v>5</v>
      </c>
      <c r="H9" s="38">
        <f t="shared" si="0"/>
        <v>4.833333333333333</v>
      </c>
      <c r="I9" s="3">
        <v>4.5</v>
      </c>
      <c r="J9" s="3"/>
      <c r="K9" s="3">
        <f>(3.5+4+4.5+5+5)/5</f>
        <v>4.4000000000000004</v>
      </c>
      <c r="L9" s="3"/>
      <c r="M9" s="45">
        <v>3.5</v>
      </c>
      <c r="N9" s="45">
        <v>3.5</v>
      </c>
      <c r="O9" s="37">
        <v>4.5</v>
      </c>
      <c r="P9" s="17">
        <v>1</v>
      </c>
      <c r="Q9" s="3" t="s">
        <v>146</v>
      </c>
      <c r="R9" s="3" t="s">
        <v>68</v>
      </c>
      <c r="S9" s="3">
        <v>11</v>
      </c>
      <c r="T9" s="67">
        <v>4.5999999999999996</v>
      </c>
      <c r="U9" s="17" t="s">
        <v>38</v>
      </c>
      <c r="V9" s="29"/>
      <c r="W9" s="29">
        <v>5</v>
      </c>
      <c r="X9" s="17">
        <v>4.5999999999999996</v>
      </c>
      <c r="Y9" s="17"/>
      <c r="Z9" s="3">
        <v>4.8</v>
      </c>
      <c r="AB9" s="27"/>
      <c r="AC9" s="19" t="s">
        <v>54</v>
      </c>
    </row>
    <row r="10" spans="1:31">
      <c r="A10" s="2">
        <v>5</v>
      </c>
      <c r="B10" s="3" t="s">
        <v>147</v>
      </c>
      <c r="C10" s="3" t="s">
        <v>148</v>
      </c>
      <c r="D10" s="4" t="s">
        <v>140</v>
      </c>
      <c r="E10" s="3">
        <v>4.5</v>
      </c>
      <c r="F10" s="3">
        <v>4.5</v>
      </c>
      <c r="G10" s="3">
        <v>5</v>
      </c>
      <c r="H10" s="66">
        <f t="shared" si="0"/>
        <v>4.666666666666667</v>
      </c>
      <c r="I10" s="3">
        <v>3.5</v>
      </c>
      <c r="J10" s="3"/>
      <c r="K10" s="3">
        <f>(4+4+4+5+1)/5</f>
        <v>3.6</v>
      </c>
      <c r="L10" s="3"/>
      <c r="M10" s="61">
        <v>1</v>
      </c>
      <c r="N10" s="61">
        <v>1</v>
      </c>
      <c r="O10" s="67">
        <v>1</v>
      </c>
      <c r="P10" s="66">
        <v>4.5999999999999996</v>
      </c>
      <c r="Q10" s="22" t="s">
        <v>149</v>
      </c>
      <c r="R10" s="3" t="s">
        <v>136</v>
      </c>
      <c r="S10" s="3">
        <v>16</v>
      </c>
      <c r="T10" s="67">
        <v>5</v>
      </c>
      <c r="U10" s="17" t="s">
        <v>42</v>
      </c>
      <c r="V10" s="29"/>
      <c r="W10" s="29">
        <v>4</v>
      </c>
      <c r="X10" s="17">
        <v>4.4000000000000004</v>
      </c>
      <c r="Y10" s="17"/>
      <c r="Z10" s="3">
        <v>4.8</v>
      </c>
      <c r="AB10" s="25"/>
      <c r="AC10" s="19" t="s">
        <v>58</v>
      </c>
    </row>
    <row r="11" spans="1:31" ht="14.25" customHeight="1">
      <c r="A11" s="2">
        <v>6</v>
      </c>
      <c r="B11" s="3" t="s">
        <v>150</v>
      </c>
      <c r="C11" s="3" t="s">
        <v>151</v>
      </c>
      <c r="D11" s="4" t="s">
        <v>140</v>
      </c>
      <c r="E11" s="3">
        <v>5</v>
      </c>
      <c r="F11" s="3">
        <v>5</v>
      </c>
      <c r="G11" s="3">
        <v>5</v>
      </c>
      <c r="H11" s="66">
        <f t="shared" si="0"/>
        <v>5</v>
      </c>
      <c r="I11" s="3">
        <v>5</v>
      </c>
      <c r="J11" s="3"/>
      <c r="K11" s="3">
        <f>(4.5+4+4+5+5)/5</f>
        <v>4.5</v>
      </c>
      <c r="L11" s="3"/>
      <c r="M11" s="61">
        <v>5</v>
      </c>
      <c r="N11" s="61">
        <v>5</v>
      </c>
      <c r="O11" s="67">
        <v>4.8</v>
      </c>
      <c r="P11" s="67">
        <v>5</v>
      </c>
      <c r="Q11" s="22" t="s">
        <v>152</v>
      </c>
      <c r="R11" s="3"/>
      <c r="S11" s="3">
        <v>7</v>
      </c>
      <c r="T11" s="67">
        <v>4.2</v>
      </c>
      <c r="U11" s="17" t="s">
        <v>38</v>
      </c>
      <c r="V11" s="29" t="s">
        <v>41</v>
      </c>
      <c r="W11" s="29">
        <v>7</v>
      </c>
      <c r="X11" s="17">
        <v>5</v>
      </c>
      <c r="Y11" s="17"/>
      <c r="Z11" s="3">
        <v>4.9000000000000004</v>
      </c>
      <c r="AB11" s="28"/>
      <c r="AC11" s="19" t="s">
        <v>62</v>
      </c>
    </row>
    <row r="12" spans="1:31">
      <c r="A12" s="2">
        <v>7</v>
      </c>
      <c r="B12" s="3" t="s">
        <v>153</v>
      </c>
      <c r="C12" s="3" t="s">
        <v>154</v>
      </c>
      <c r="D12" s="4" t="s">
        <v>134</v>
      </c>
      <c r="E12" s="3">
        <v>4</v>
      </c>
      <c r="F12" s="3">
        <v>4</v>
      </c>
      <c r="G12" s="3">
        <v>4</v>
      </c>
      <c r="H12" s="38">
        <f t="shared" si="0"/>
        <v>4</v>
      </c>
      <c r="I12" s="3">
        <v>5</v>
      </c>
      <c r="J12" s="3"/>
      <c r="K12" s="3">
        <f>(4+4+4.5+5+3.5)/5</f>
        <v>4.2</v>
      </c>
      <c r="L12" s="3"/>
      <c r="M12" s="3">
        <v>3.3</v>
      </c>
      <c r="N12" s="3">
        <v>3.5</v>
      </c>
      <c r="O12" s="37">
        <v>3.8</v>
      </c>
      <c r="P12" s="17">
        <v>3.2</v>
      </c>
      <c r="Q12" s="22" t="s">
        <v>155</v>
      </c>
      <c r="R12" s="3" t="s">
        <v>156</v>
      </c>
      <c r="S12" s="3">
        <v>9</v>
      </c>
      <c r="T12" s="84">
        <v>4.4000000000000004</v>
      </c>
      <c r="U12" s="17" t="s">
        <v>38</v>
      </c>
      <c r="V12" s="29"/>
      <c r="W12" s="29">
        <v>5</v>
      </c>
      <c r="X12" s="17">
        <v>4.5999999999999996</v>
      </c>
      <c r="Y12" s="17"/>
      <c r="Z12" s="3">
        <v>4.4000000000000004</v>
      </c>
    </row>
    <row r="13" spans="1:31">
      <c r="A13" s="2">
        <v>8</v>
      </c>
      <c r="B13" s="3" t="s">
        <v>82</v>
      </c>
      <c r="C13" s="3" t="s">
        <v>157</v>
      </c>
      <c r="D13" s="4" t="s">
        <v>140</v>
      </c>
      <c r="E13" s="3">
        <v>4.5</v>
      </c>
      <c r="F13" s="3">
        <v>4</v>
      </c>
      <c r="G13" s="3">
        <v>4.5</v>
      </c>
      <c r="H13" s="66">
        <f t="shared" si="0"/>
        <v>4.333333333333333</v>
      </c>
      <c r="I13" s="3">
        <v>4.5</v>
      </c>
      <c r="J13" s="3"/>
      <c r="K13" s="3">
        <f>(4.5+4.5+4.5+5+1)/5</f>
        <v>3.9</v>
      </c>
      <c r="L13" s="3"/>
      <c r="M13" s="61">
        <v>3.3</v>
      </c>
      <c r="N13" s="61">
        <v>2</v>
      </c>
      <c r="O13" s="67">
        <v>2.8</v>
      </c>
      <c r="P13" s="67">
        <v>4.5999999999999996</v>
      </c>
      <c r="Q13" s="3" t="s">
        <v>37</v>
      </c>
      <c r="R13" s="3" t="s">
        <v>69</v>
      </c>
      <c r="S13" s="3">
        <v>8</v>
      </c>
      <c r="T13" s="67">
        <v>4.2</v>
      </c>
      <c r="U13" s="17" t="s">
        <v>42</v>
      </c>
      <c r="V13" s="29" t="s">
        <v>41</v>
      </c>
      <c r="W13" s="29">
        <v>6</v>
      </c>
      <c r="X13" s="17">
        <v>4.8</v>
      </c>
      <c r="Y13" s="17"/>
      <c r="Z13" s="3">
        <v>4.2</v>
      </c>
      <c r="AD13" s="1">
        <v>7</v>
      </c>
      <c r="AE13" s="1">
        <v>5</v>
      </c>
    </row>
    <row r="14" spans="1:31">
      <c r="A14" s="2">
        <v>9</v>
      </c>
      <c r="B14" s="3" t="s">
        <v>158</v>
      </c>
      <c r="C14" s="3" t="s">
        <v>159</v>
      </c>
      <c r="D14" s="4" t="s">
        <v>134</v>
      </c>
      <c r="E14" s="3">
        <v>4.5</v>
      </c>
      <c r="F14" s="3">
        <v>5</v>
      </c>
      <c r="G14" s="3">
        <v>3.2</v>
      </c>
      <c r="H14" s="17">
        <f t="shared" si="0"/>
        <v>4.2333333333333334</v>
      </c>
      <c r="I14" s="3">
        <v>5</v>
      </c>
      <c r="J14" s="3"/>
      <c r="K14" s="3">
        <f>(4+4+5+5+1)/5</f>
        <v>3.8</v>
      </c>
      <c r="L14" s="3"/>
      <c r="M14" s="3">
        <v>3.5</v>
      </c>
      <c r="N14" s="3">
        <v>3.5</v>
      </c>
      <c r="O14" s="37">
        <v>2.8</v>
      </c>
      <c r="P14" s="17">
        <v>1</v>
      </c>
      <c r="Q14" s="3" t="s">
        <v>146</v>
      </c>
      <c r="R14" s="3"/>
      <c r="S14" s="3">
        <v>10</v>
      </c>
      <c r="T14" s="67">
        <v>4.4000000000000004</v>
      </c>
      <c r="U14" s="17" t="s">
        <v>72</v>
      </c>
      <c r="V14" s="29"/>
      <c r="W14" s="29">
        <v>1</v>
      </c>
      <c r="X14" s="17">
        <v>3.8</v>
      </c>
      <c r="Y14" s="17"/>
      <c r="Z14" s="3">
        <v>4.4000000000000004</v>
      </c>
      <c r="AD14" s="1">
        <v>6</v>
      </c>
      <c r="AE14" s="1">
        <v>4.8</v>
      </c>
    </row>
    <row r="15" spans="1:31" ht="14.25" customHeight="1">
      <c r="A15" s="2">
        <v>10</v>
      </c>
      <c r="B15" s="3" t="s">
        <v>160</v>
      </c>
      <c r="C15" s="3" t="s">
        <v>161</v>
      </c>
      <c r="D15" s="4" t="s">
        <v>140</v>
      </c>
      <c r="E15" s="3">
        <v>4.5</v>
      </c>
      <c r="F15" s="3">
        <v>5</v>
      </c>
      <c r="G15" s="3">
        <v>5</v>
      </c>
      <c r="H15" s="66">
        <f t="shared" si="0"/>
        <v>4.833333333333333</v>
      </c>
      <c r="I15" s="3">
        <v>5</v>
      </c>
      <c r="J15" s="3"/>
      <c r="K15" s="3">
        <f>(4.5+4+4+5+5)/5</f>
        <v>4.5</v>
      </c>
      <c r="L15" s="3"/>
      <c r="M15" s="61">
        <v>5</v>
      </c>
      <c r="N15" s="61">
        <v>5</v>
      </c>
      <c r="O15" s="67">
        <v>3.3</v>
      </c>
      <c r="P15" s="67">
        <v>4.3</v>
      </c>
      <c r="Q15" s="3" t="s">
        <v>37</v>
      </c>
      <c r="R15" s="3"/>
      <c r="S15" s="3">
        <v>5</v>
      </c>
      <c r="T15" s="67">
        <v>4</v>
      </c>
      <c r="U15" s="17" t="s">
        <v>38</v>
      </c>
      <c r="V15" s="29"/>
      <c r="W15" s="29">
        <v>5</v>
      </c>
      <c r="X15" s="17">
        <v>4.5999999999999996</v>
      </c>
      <c r="Y15" s="17"/>
      <c r="Z15" s="3">
        <v>4.8</v>
      </c>
      <c r="AD15" s="1">
        <v>5</v>
      </c>
      <c r="AE15" s="1">
        <v>4.5999999999999996</v>
      </c>
    </row>
    <row r="16" spans="1:31">
      <c r="A16" s="2">
        <v>11</v>
      </c>
      <c r="B16" s="3" t="s">
        <v>162</v>
      </c>
      <c r="C16" s="3" t="s">
        <v>163</v>
      </c>
      <c r="D16" s="4" t="s">
        <v>140</v>
      </c>
      <c r="E16" s="3">
        <v>5</v>
      </c>
      <c r="F16" s="3">
        <v>5</v>
      </c>
      <c r="G16" s="3">
        <v>4.5</v>
      </c>
      <c r="H16" s="66">
        <f t="shared" si="0"/>
        <v>4.833333333333333</v>
      </c>
      <c r="I16" s="3">
        <v>5</v>
      </c>
      <c r="J16" s="3"/>
      <c r="K16" s="3">
        <f>(3.5+3.5+3.5+3.5+5)/5</f>
        <v>3.8</v>
      </c>
      <c r="L16" s="3"/>
      <c r="M16" s="61">
        <v>5</v>
      </c>
      <c r="N16" s="61">
        <v>3.2</v>
      </c>
      <c r="O16" s="67">
        <v>2.8</v>
      </c>
      <c r="P16" s="66">
        <v>1</v>
      </c>
      <c r="Q16" s="3" t="s">
        <v>149</v>
      </c>
      <c r="R16" s="3"/>
      <c r="S16" s="3">
        <v>11</v>
      </c>
      <c r="T16" s="67">
        <v>4.5999999999999996</v>
      </c>
      <c r="U16" s="17" t="s">
        <v>41</v>
      </c>
      <c r="V16" s="29"/>
      <c r="W16" s="29">
        <v>2</v>
      </c>
      <c r="X16" s="17">
        <v>4</v>
      </c>
      <c r="Y16" s="17"/>
      <c r="Z16" s="3">
        <v>4.7</v>
      </c>
      <c r="AD16" s="1">
        <v>4</v>
      </c>
      <c r="AE16" s="1">
        <v>4.4000000000000004</v>
      </c>
    </row>
    <row r="17" spans="1:31">
      <c r="A17" s="2">
        <v>12</v>
      </c>
      <c r="B17" s="3" t="s">
        <v>164</v>
      </c>
      <c r="C17" s="3" t="s">
        <v>165</v>
      </c>
      <c r="D17" s="4" t="s">
        <v>140</v>
      </c>
      <c r="E17" s="3">
        <v>4.5</v>
      </c>
      <c r="F17" s="3">
        <v>5</v>
      </c>
      <c r="G17" s="3">
        <v>4</v>
      </c>
      <c r="H17" s="66">
        <f t="shared" si="0"/>
        <v>4.5</v>
      </c>
      <c r="I17" s="3">
        <v>5</v>
      </c>
      <c r="J17" s="3"/>
      <c r="K17" s="3">
        <f>(5+5+4.5+5+1)/5</f>
        <v>4.0999999999999996</v>
      </c>
      <c r="L17" s="3"/>
      <c r="M17" s="61">
        <v>5</v>
      </c>
      <c r="N17" s="61">
        <v>5</v>
      </c>
      <c r="O17" s="67">
        <v>4.3</v>
      </c>
      <c r="P17" s="66">
        <v>1</v>
      </c>
      <c r="Q17" s="3" t="s">
        <v>166</v>
      </c>
      <c r="R17" s="3" t="s">
        <v>61</v>
      </c>
      <c r="S17" s="3">
        <v>8</v>
      </c>
      <c r="T17" s="67">
        <v>4.2</v>
      </c>
      <c r="U17" s="17" t="s">
        <v>38</v>
      </c>
      <c r="V17" s="29"/>
      <c r="W17" s="29">
        <v>5</v>
      </c>
      <c r="X17" s="17">
        <v>4.5999999999999996</v>
      </c>
      <c r="Y17" s="17"/>
      <c r="Z17" s="3">
        <v>4.8</v>
      </c>
      <c r="AD17" s="1">
        <v>3</v>
      </c>
      <c r="AE17" s="1">
        <v>4.2</v>
      </c>
    </row>
    <row r="18" spans="1:31">
      <c r="A18" s="2">
        <v>13</v>
      </c>
      <c r="B18" s="3" t="s">
        <v>167</v>
      </c>
      <c r="C18" s="3" t="s">
        <v>168</v>
      </c>
      <c r="D18" s="4" t="s">
        <v>134</v>
      </c>
      <c r="E18" s="3">
        <v>5</v>
      </c>
      <c r="F18" s="3">
        <v>5</v>
      </c>
      <c r="G18" s="3">
        <v>5</v>
      </c>
      <c r="H18" s="38">
        <f t="shared" si="0"/>
        <v>5</v>
      </c>
      <c r="I18" s="3">
        <v>4</v>
      </c>
      <c r="J18" s="3"/>
      <c r="K18" s="3">
        <f>(4.5+4+4.5+5+5)/5</f>
        <v>4.5999999999999996</v>
      </c>
      <c r="L18" s="3"/>
      <c r="M18" s="3">
        <v>4.2</v>
      </c>
      <c r="N18" s="17">
        <v>5</v>
      </c>
      <c r="O18" s="37">
        <v>4</v>
      </c>
      <c r="P18" s="3">
        <v>4.4000000000000004</v>
      </c>
      <c r="Q18" s="22" t="s">
        <v>37</v>
      </c>
      <c r="R18" s="3"/>
      <c r="S18" s="3">
        <v>5</v>
      </c>
      <c r="T18" s="67">
        <v>4</v>
      </c>
      <c r="U18" s="17" t="s">
        <v>38</v>
      </c>
      <c r="V18" s="33"/>
      <c r="W18" s="29">
        <v>5</v>
      </c>
      <c r="X18" s="17">
        <v>4.5999999999999996</v>
      </c>
      <c r="Y18" s="17"/>
      <c r="Z18" s="3">
        <v>4.8</v>
      </c>
      <c r="AD18" s="1">
        <v>2</v>
      </c>
      <c r="AE18" s="1">
        <v>4</v>
      </c>
    </row>
    <row r="19" spans="1:31">
      <c r="A19" s="2">
        <v>14</v>
      </c>
      <c r="B19" s="3" t="s">
        <v>169</v>
      </c>
      <c r="C19" s="3" t="s">
        <v>170</v>
      </c>
      <c r="D19" s="4" t="s">
        <v>134</v>
      </c>
      <c r="E19" s="3">
        <v>5</v>
      </c>
      <c r="F19" s="3">
        <v>5</v>
      </c>
      <c r="G19" s="3">
        <v>5</v>
      </c>
      <c r="H19" s="38">
        <f t="shared" si="0"/>
        <v>5</v>
      </c>
      <c r="I19" s="3">
        <v>5</v>
      </c>
      <c r="J19" s="3"/>
      <c r="K19" s="3">
        <f>(5+5+5+5+3.5)/5</f>
        <v>4.7</v>
      </c>
      <c r="L19" s="3"/>
      <c r="M19" s="3">
        <v>3.8</v>
      </c>
      <c r="N19" s="3">
        <v>3.8</v>
      </c>
      <c r="O19" s="37">
        <v>3.7</v>
      </c>
      <c r="P19" s="17">
        <v>4.8</v>
      </c>
      <c r="Q19" s="3" t="s">
        <v>141</v>
      </c>
      <c r="R19" s="3" t="s">
        <v>41</v>
      </c>
      <c r="S19" s="3">
        <v>9</v>
      </c>
      <c r="T19" s="67">
        <v>4.4000000000000004</v>
      </c>
      <c r="U19" s="17" t="s">
        <v>38</v>
      </c>
      <c r="V19" s="29"/>
      <c r="W19" s="29">
        <v>5</v>
      </c>
      <c r="X19" s="17">
        <v>4.5999999999999996</v>
      </c>
      <c r="Y19" s="17"/>
      <c r="Z19" s="3">
        <v>4.5</v>
      </c>
      <c r="AD19" s="1">
        <v>1</v>
      </c>
      <c r="AE19" s="1">
        <v>3.8</v>
      </c>
    </row>
    <row r="20" spans="1:31">
      <c r="A20" s="2">
        <v>15</v>
      </c>
      <c r="B20" s="3" t="s">
        <v>171</v>
      </c>
      <c r="C20" s="3" t="s">
        <v>172</v>
      </c>
      <c r="D20" s="4" t="s">
        <v>134</v>
      </c>
      <c r="E20" s="3">
        <v>4.5</v>
      </c>
      <c r="F20" s="3">
        <v>5</v>
      </c>
      <c r="G20" s="3">
        <v>5</v>
      </c>
      <c r="H20" s="38">
        <f t="shared" si="0"/>
        <v>4.833333333333333</v>
      </c>
      <c r="I20" s="3">
        <v>5</v>
      </c>
      <c r="J20" s="3"/>
      <c r="K20" s="3">
        <f>(4+4+5+5+1)/5</f>
        <v>3.8</v>
      </c>
      <c r="L20" s="3"/>
      <c r="M20" s="3">
        <v>4.5</v>
      </c>
      <c r="N20" s="3">
        <v>5</v>
      </c>
      <c r="O20" s="37">
        <v>3.8</v>
      </c>
      <c r="P20" s="3">
        <v>4.7</v>
      </c>
      <c r="Q20" s="3" t="s">
        <v>135</v>
      </c>
      <c r="R20" s="3"/>
      <c r="S20" s="3">
        <v>11</v>
      </c>
      <c r="T20" s="67">
        <v>4.5999999999999996</v>
      </c>
      <c r="U20" s="17" t="s">
        <v>38</v>
      </c>
      <c r="V20" s="29"/>
      <c r="W20" s="29">
        <v>5</v>
      </c>
      <c r="X20" s="17">
        <v>4.5999999999999996</v>
      </c>
      <c r="Y20" s="17"/>
      <c r="Z20" s="3">
        <v>4.5</v>
      </c>
    </row>
    <row r="21" spans="1:31">
      <c r="A21" s="2">
        <v>16</v>
      </c>
      <c r="B21" s="3" t="s">
        <v>173</v>
      </c>
      <c r="C21" s="3" t="s">
        <v>174</v>
      </c>
      <c r="D21" s="4" t="s">
        <v>134</v>
      </c>
      <c r="E21" s="3">
        <v>3.5</v>
      </c>
      <c r="F21" s="3">
        <v>1</v>
      </c>
      <c r="G21" s="3">
        <v>4</v>
      </c>
      <c r="H21" s="38">
        <f t="shared" si="0"/>
        <v>2.8333333333333335</v>
      </c>
      <c r="I21" s="3">
        <v>5</v>
      </c>
      <c r="J21" s="3"/>
      <c r="K21" s="3">
        <v>1</v>
      </c>
      <c r="L21" s="3"/>
      <c r="M21" s="3">
        <v>3.5</v>
      </c>
      <c r="N21" s="3">
        <v>3.5</v>
      </c>
      <c r="O21" s="37">
        <v>4</v>
      </c>
      <c r="P21" s="17">
        <v>1</v>
      </c>
      <c r="Q21" s="22" t="s">
        <v>175</v>
      </c>
      <c r="R21" s="3" t="s">
        <v>156</v>
      </c>
      <c r="S21" s="3">
        <v>8</v>
      </c>
      <c r="T21" s="67">
        <v>4.2</v>
      </c>
      <c r="U21" s="17" t="s">
        <v>38</v>
      </c>
      <c r="V21" s="33"/>
      <c r="W21" s="29">
        <v>5</v>
      </c>
      <c r="X21" s="17">
        <v>4.5999999999999996</v>
      </c>
      <c r="Y21" s="17"/>
      <c r="Z21" s="3">
        <v>4.7</v>
      </c>
    </row>
    <row r="22" spans="1:31">
      <c r="A22" s="2">
        <v>17</v>
      </c>
      <c r="B22" s="3" t="s">
        <v>176</v>
      </c>
      <c r="C22" s="3" t="s">
        <v>177</v>
      </c>
      <c r="D22" s="4" t="s">
        <v>140</v>
      </c>
      <c r="E22" s="3">
        <v>4.5</v>
      </c>
      <c r="F22" s="3">
        <v>4.5</v>
      </c>
      <c r="G22" s="3">
        <v>4.5</v>
      </c>
      <c r="H22" s="66">
        <f t="shared" si="0"/>
        <v>4.5</v>
      </c>
      <c r="I22" s="3">
        <v>5</v>
      </c>
      <c r="J22" s="3"/>
      <c r="K22" s="3">
        <f>(4+4.5+4.5+5+3.5)/5</f>
        <v>4.3</v>
      </c>
      <c r="L22" s="3"/>
      <c r="M22" s="45">
        <v>3.5</v>
      </c>
      <c r="N22" s="45">
        <v>3.5</v>
      </c>
      <c r="O22" s="67">
        <v>3.4</v>
      </c>
      <c r="P22" s="66">
        <v>4.2</v>
      </c>
      <c r="Q22" s="22" t="s">
        <v>178</v>
      </c>
      <c r="R22" s="3" t="s">
        <v>72</v>
      </c>
      <c r="S22" s="3">
        <v>12</v>
      </c>
      <c r="T22" s="67">
        <v>4.5999999999999996</v>
      </c>
      <c r="U22" s="17" t="s">
        <v>36</v>
      </c>
      <c r="V22" s="29"/>
      <c r="W22" s="29">
        <v>3</v>
      </c>
      <c r="X22" s="17">
        <v>4.2</v>
      </c>
      <c r="Y22" s="17"/>
      <c r="Z22" s="3">
        <v>4.3</v>
      </c>
    </row>
    <row r="23" spans="1:31">
      <c r="A23" s="2">
        <v>18</v>
      </c>
      <c r="B23" s="3" t="s">
        <v>73</v>
      </c>
      <c r="C23" s="3" t="s">
        <v>179</v>
      </c>
      <c r="D23" s="4" t="s">
        <v>140</v>
      </c>
      <c r="E23" s="3">
        <v>4.5</v>
      </c>
      <c r="F23" s="3">
        <v>5</v>
      </c>
      <c r="G23" s="3">
        <v>4.5</v>
      </c>
      <c r="H23" s="66">
        <f t="shared" si="0"/>
        <v>4.666666666666667</v>
      </c>
      <c r="I23" s="3">
        <v>3.5</v>
      </c>
      <c r="J23" s="3"/>
      <c r="K23" s="3">
        <f>(3.5+4+4.5+5+5)/5</f>
        <v>4.4000000000000004</v>
      </c>
      <c r="L23" s="3"/>
      <c r="M23" s="61">
        <v>1</v>
      </c>
      <c r="N23" s="3">
        <v>1</v>
      </c>
      <c r="O23" s="37">
        <v>1</v>
      </c>
      <c r="P23" s="66">
        <v>4.7</v>
      </c>
      <c r="Q23" s="3" t="s">
        <v>149</v>
      </c>
      <c r="R23" s="3"/>
      <c r="S23" s="3">
        <v>11</v>
      </c>
      <c r="T23" s="67">
        <v>4.5999999999999996</v>
      </c>
      <c r="U23" s="17" t="s">
        <v>72</v>
      </c>
      <c r="V23" s="29"/>
      <c r="W23" s="29">
        <v>1</v>
      </c>
      <c r="X23" s="17">
        <v>3.8</v>
      </c>
      <c r="Y23" s="17"/>
      <c r="Z23" s="3">
        <v>4.5</v>
      </c>
    </row>
    <row r="24" spans="1:31">
      <c r="A24" s="2">
        <v>19</v>
      </c>
      <c r="B24" s="3" t="s">
        <v>180</v>
      </c>
      <c r="C24" s="3" t="s">
        <v>181</v>
      </c>
      <c r="D24" s="4" t="s">
        <v>134</v>
      </c>
      <c r="E24" s="3">
        <v>4.5</v>
      </c>
      <c r="F24" s="3">
        <v>4.5</v>
      </c>
      <c r="G24" s="3">
        <v>5</v>
      </c>
      <c r="H24" s="38">
        <f t="shared" si="0"/>
        <v>4.666666666666667</v>
      </c>
      <c r="I24" s="3">
        <v>4.5</v>
      </c>
      <c r="J24" s="3"/>
      <c r="K24" s="3">
        <f>(4+4+5+5+1)/5</f>
        <v>3.8</v>
      </c>
      <c r="L24" s="3"/>
      <c r="M24" s="3">
        <v>4</v>
      </c>
      <c r="N24" s="3">
        <v>5</v>
      </c>
      <c r="O24" s="37">
        <v>3.8</v>
      </c>
      <c r="P24" s="3">
        <v>4.4000000000000004</v>
      </c>
      <c r="Q24" s="3" t="s">
        <v>135</v>
      </c>
      <c r="R24" s="3" t="s">
        <v>41</v>
      </c>
      <c r="S24" s="3">
        <v>13</v>
      </c>
      <c r="T24" s="67">
        <v>4.8</v>
      </c>
      <c r="U24" s="17" t="s">
        <v>38</v>
      </c>
      <c r="V24" s="29"/>
      <c r="W24" s="29">
        <v>5</v>
      </c>
      <c r="X24" s="17">
        <v>4.5999999999999996</v>
      </c>
      <c r="Y24" s="17"/>
      <c r="Z24" s="3">
        <v>4.5999999999999996</v>
      </c>
    </row>
    <row r="25" spans="1:31">
      <c r="A25" s="2">
        <v>20</v>
      </c>
      <c r="B25" s="3" t="s">
        <v>66</v>
      </c>
      <c r="C25" s="3" t="s">
        <v>182</v>
      </c>
      <c r="D25" s="4" t="s">
        <v>140</v>
      </c>
      <c r="E25" s="3">
        <v>5</v>
      </c>
      <c r="F25" s="3">
        <v>4.5</v>
      </c>
      <c r="G25" s="3">
        <v>4</v>
      </c>
      <c r="H25" s="66">
        <f t="shared" si="0"/>
        <v>4.5</v>
      </c>
      <c r="I25" s="3">
        <v>5</v>
      </c>
      <c r="J25" s="3"/>
      <c r="K25" s="3">
        <f>(4.5+4.5+4.5+5+1)/5</f>
        <v>3.9</v>
      </c>
      <c r="L25" s="3"/>
      <c r="M25" s="61">
        <v>3.2</v>
      </c>
      <c r="N25" s="61">
        <v>3.5</v>
      </c>
      <c r="O25" s="67">
        <v>4.3</v>
      </c>
      <c r="P25" s="66">
        <v>1</v>
      </c>
      <c r="Q25" s="3" t="s">
        <v>146</v>
      </c>
      <c r="R25" s="3"/>
      <c r="S25" s="3">
        <v>10</v>
      </c>
      <c r="T25" s="67">
        <v>4.4000000000000004</v>
      </c>
      <c r="U25" s="17" t="s">
        <v>36</v>
      </c>
      <c r="V25" s="29" t="s">
        <v>41</v>
      </c>
      <c r="W25" s="29">
        <v>5</v>
      </c>
      <c r="X25" s="17">
        <v>4.5999999999999996</v>
      </c>
      <c r="Y25" s="17"/>
      <c r="Z25" s="3">
        <v>4.2</v>
      </c>
    </row>
    <row r="26" spans="1:31">
      <c r="A26" s="2">
        <v>21</v>
      </c>
      <c r="B26" s="3" t="s">
        <v>39</v>
      </c>
      <c r="C26" s="3" t="s">
        <v>183</v>
      </c>
      <c r="D26" s="4" t="s">
        <v>140</v>
      </c>
      <c r="E26" s="3">
        <v>1</v>
      </c>
      <c r="F26" s="3">
        <v>1</v>
      </c>
      <c r="G26" s="3">
        <v>1</v>
      </c>
      <c r="H26" s="66">
        <f t="shared" si="0"/>
        <v>1</v>
      </c>
      <c r="I26" s="3">
        <v>1</v>
      </c>
      <c r="J26" s="3"/>
      <c r="K26" s="3">
        <f>(4+4+4+5+1)/5</f>
        <v>3.6</v>
      </c>
      <c r="L26" s="3"/>
      <c r="M26" s="3"/>
      <c r="N26" s="3"/>
      <c r="O26" s="67">
        <v>2</v>
      </c>
      <c r="P26" s="66">
        <v>1</v>
      </c>
      <c r="Q26" s="3"/>
      <c r="R26" s="3" t="s">
        <v>72</v>
      </c>
      <c r="S26" s="3">
        <v>1</v>
      </c>
      <c r="T26" s="67">
        <v>3.4</v>
      </c>
      <c r="U26" s="17" t="s">
        <v>72</v>
      </c>
      <c r="V26" s="29"/>
      <c r="W26" s="29">
        <v>1</v>
      </c>
      <c r="X26" s="17">
        <v>3.8</v>
      </c>
      <c r="Y26" s="17"/>
      <c r="Z26" s="3">
        <v>4</v>
      </c>
    </row>
    <row r="27" spans="1:31">
      <c r="A27" s="2">
        <v>22</v>
      </c>
      <c r="B27" s="3" t="s">
        <v>184</v>
      </c>
      <c r="C27" s="3" t="s">
        <v>185</v>
      </c>
      <c r="D27" s="4" t="s">
        <v>140</v>
      </c>
      <c r="E27" s="3">
        <v>4.5</v>
      </c>
      <c r="F27" s="3">
        <v>4.5</v>
      </c>
      <c r="G27" s="3">
        <v>5</v>
      </c>
      <c r="H27" s="66">
        <f t="shared" si="0"/>
        <v>4.666666666666667</v>
      </c>
      <c r="I27" s="3">
        <v>4.5</v>
      </c>
      <c r="J27" s="3"/>
      <c r="K27" s="3">
        <f>(4.5+4+4+5+5)/5</f>
        <v>4.5</v>
      </c>
      <c r="L27" s="3"/>
      <c r="M27" s="61">
        <v>5</v>
      </c>
      <c r="N27" s="3">
        <v>5</v>
      </c>
      <c r="O27" s="67">
        <v>4.5</v>
      </c>
      <c r="P27" s="67">
        <v>4.5</v>
      </c>
      <c r="Q27" s="22" t="s">
        <v>141</v>
      </c>
      <c r="R27" s="3"/>
      <c r="S27" s="3">
        <v>7</v>
      </c>
      <c r="T27" s="67">
        <v>4.2</v>
      </c>
      <c r="U27" s="17" t="s">
        <v>38</v>
      </c>
      <c r="V27" s="29"/>
      <c r="W27" s="29">
        <v>5</v>
      </c>
      <c r="X27" s="17">
        <v>4.5999999999999996</v>
      </c>
      <c r="Y27" s="17"/>
      <c r="Z27" s="3">
        <v>4.7</v>
      </c>
    </row>
    <row r="28" spans="1:31">
      <c r="A28" s="2">
        <v>23</v>
      </c>
      <c r="B28" s="3" t="s">
        <v>186</v>
      </c>
      <c r="C28" s="3" t="s">
        <v>187</v>
      </c>
      <c r="D28" s="4" t="s">
        <v>140</v>
      </c>
      <c r="E28" s="3">
        <v>1</v>
      </c>
      <c r="F28" s="3">
        <v>1</v>
      </c>
      <c r="G28" s="3">
        <v>1</v>
      </c>
      <c r="H28" s="66">
        <f t="shared" si="0"/>
        <v>1</v>
      </c>
      <c r="I28" s="3">
        <v>1</v>
      </c>
      <c r="J28" s="3"/>
      <c r="K28" s="3">
        <f>(3.5+4+4+5+1)/5</f>
        <v>3.5</v>
      </c>
      <c r="L28" s="3"/>
      <c r="M28" s="61">
        <v>1</v>
      </c>
      <c r="N28" s="3">
        <v>1</v>
      </c>
      <c r="O28" s="67">
        <v>2</v>
      </c>
      <c r="P28" s="66">
        <v>1</v>
      </c>
      <c r="Q28" s="3" t="s">
        <v>175</v>
      </c>
      <c r="R28" s="3"/>
      <c r="S28" s="3">
        <v>5</v>
      </c>
      <c r="T28" s="67">
        <v>4</v>
      </c>
      <c r="U28" s="17"/>
      <c r="V28" s="29"/>
      <c r="W28" s="29"/>
      <c r="X28" s="17">
        <v>3.2</v>
      </c>
      <c r="Y28" s="17"/>
      <c r="Z28" s="3">
        <v>3.8</v>
      </c>
    </row>
    <row r="31" spans="1:31">
      <c r="B31" s="18" t="s">
        <v>188</v>
      </c>
    </row>
    <row r="32" spans="1:31">
      <c r="K32" s="1" t="s">
        <v>189</v>
      </c>
    </row>
    <row r="33" spans="1:11">
      <c r="A33" s="1">
        <v>1</v>
      </c>
      <c r="B33" s="1" t="s">
        <v>86</v>
      </c>
      <c r="C33" s="1" t="s">
        <v>108</v>
      </c>
      <c r="K33" s="1" t="s">
        <v>190</v>
      </c>
    </row>
    <row r="34" spans="1:11">
      <c r="B34" s="1" t="s">
        <v>142</v>
      </c>
      <c r="K34" s="41" t="s">
        <v>191</v>
      </c>
    </row>
    <row r="35" spans="1:11">
      <c r="B35" s="1" t="s">
        <v>162</v>
      </c>
      <c r="K35" s="1" t="s">
        <v>192</v>
      </c>
    </row>
    <row r="36" spans="1:11">
      <c r="K36" s="41" t="s">
        <v>103</v>
      </c>
    </row>
    <row r="37" spans="1:11">
      <c r="A37" s="1">
        <v>2</v>
      </c>
      <c r="B37" s="1" t="s">
        <v>193</v>
      </c>
      <c r="C37" s="1" t="s">
        <v>114</v>
      </c>
      <c r="K37" s="41" t="s">
        <v>105</v>
      </c>
    </row>
    <row r="38" spans="1:11">
      <c r="B38" s="1" t="s">
        <v>167</v>
      </c>
      <c r="K38" s="1" t="s">
        <v>106</v>
      </c>
    </row>
    <row r="39" spans="1:11">
      <c r="B39" s="1" t="s">
        <v>194</v>
      </c>
      <c r="K39" s="1">
        <v>2</v>
      </c>
    </row>
    <row r="40" spans="1:11">
      <c r="K40" s="1">
        <v>1</v>
      </c>
    </row>
    <row r="41" spans="1:11">
      <c r="A41" s="1">
        <v>3</v>
      </c>
      <c r="B41" s="1" t="s">
        <v>150</v>
      </c>
      <c r="C41" s="1" t="s">
        <v>104</v>
      </c>
    </row>
    <row r="42" spans="1:11">
      <c r="B42" s="1" t="s">
        <v>195</v>
      </c>
    </row>
    <row r="43" spans="1:11">
      <c r="B43" s="1" t="s">
        <v>184</v>
      </c>
    </row>
    <row r="45" spans="1:11">
      <c r="A45" s="1">
        <v>4</v>
      </c>
      <c r="B45" s="1" t="s">
        <v>82</v>
      </c>
      <c r="C45" s="1" t="s">
        <v>118</v>
      </c>
    </row>
    <row r="46" spans="1:11">
      <c r="B46" s="1" t="s">
        <v>164</v>
      </c>
    </row>
    <row r="47" spans="1:11">
      <c r="B47" s="1" t="s">
        <v>66</v>
      </c>
    </row>
    <row r="49" spans="1:3">
      <c r="A49" s="1">
        <v>5</v>
      </c>
      <c r="B49" s="1" t="s">
        <v>196</v>
      </c>
      <c r="C49" s="1" t="s">
        <v>197</v>
      </c>
    </row>
    <row r="50" spans="1:3">
      <c r="B50" s="1" t="s">
        <v>198</v>
      </c>
    </row>
    <row r="51" spans="1:3">
      <c r="B51" s="1" t="s">
        <v>199</v>
      </c>
    </row>
    <row r="53" spans="1:3">
      <c r="A53" s="1">
        <v>6</v>
      </c>
      <c r="B53" s="1" t="s">
        <v>200</v>
      </c>
      <c r="C53" s="1" t="s">
        <v>98</v>
      </c>
    </row>
    <row r="54" spans="1:3">
      <c r="B54" s="1" t="s">
        <v>201</v>
      </c>
    </row>
    <row r="55" spans="1:3">
      <c r="B55" s="1" t="s">
        <v>202</v>
      </c>
    </row>
    <row r="57" spans="1:3">
      <c r="A57" s="1">
        <v>7</v>
      </c>
      <c r="B57" s="1" t="s">
        <v>203</v>
      </c>
      <c r="C57" s="1" t="s">
        <v>111</v>
      </c>
    </row>
    <row r="58" spans="1:3">
      <c r="B58" s="1" t="s">
        <v>204</v>
      </c>
    </row>
    <row r="59" spans="1:3">
      <c r="B59" s="1" t="s">
        <v>205</v>
      </c>
    </row>
    <row r="61" spans="1:3">
      <c r="A61" s="1">
        <v>8</v>
      </c>
      <c r="B61" s="1" t="s">
        <v>176</v>
      </c>
      <c r="C61" s="1" t="s">
        <v>206</v>
      </c>
    </row>
    <row r="62" spans="1:3">
      <c r="B62" s="1" t="s">
        <v>153</v>
      </c>
    </row>
  </sheetData>
  <mergeCells count="10">
    <mergeCell ref="Q4:Z4"/>
    <mergeCell ref="L3:M3"/>
    <mergeCell ref="N3:O3"/>
    <mergeCell ref="B2:Z2"/>
    <mergeCell ref="B4:B5"/>
    <mergeCell ref="C4:C5"/>
    <mergeCell ref="D4:D5"/>
    <mergeCell ref="E4:L4"/>
    <mergeCell ref="M4:P4"/>
    <mergeCell ref="X3:Y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Y86"/>
  <sheetViews>
    <sheetView zoomScale="130" zoomScaleNormal="130" workbookViewId="0">
      <pane xSplit="4" ySplit="5" topLeftCell="E24" activePane="bottomRight" state="frozen"/>
      <selection pane="bottomRight" activeCell="L30" sqref="L30"/>
      <selection pane="bottomLeft" activeCell="A6" sqref="A6"/>
      <selection pane="topRight" activeCell="F1" sqref="F1"/>
    </sheetView>
  </sheetViews>
  <sheetFormatPr defaultColWidth="11.42578125" defaultRowHeight="16.5"/>
  <cols>
    <col min="1" max="1" width="3.5703125" style="1" customWidth="1"/>
    <col min="2" max="2" width="18.42578125" style="1" customWidth="1"/>
    <col min="3" max="3" width="22.85546875" style="1" customWidth="1"/>
    <col min="4" max="4" width="5" style="2" customWidth="1"/>
    <col min="5" max="5" width="6.140625" style="1" customWidth="1"/>
    <col min="6" max="7" width="6.140625" style="1" hidden="1" customWidth="1"/>
    <col min="8" max="9" width="6.140625" style="1" customWidth="1"/>
    <col min="10" max="10" width="5.5703125" style="1" customWidth="1"/>
    <col min="11" max="11" width="6.140625" style="1" customWidth="1"/>
    <col min="12" max="12" width="5.85546875" style="1" customWidth="1"/>
    <col min="13" max="13" width="6.140625" style="1" customWidth="1"/>
    <col min="14" max="14" width="7.28515625" style="1" customWidth="1"/>
    <col min="15" max="15" width="6.140625" style="1" hidden="1" customWidth="1"/>
    <col min="16" max="16" width="7.140625" style="1" hidden="1" customWidth="1"/>
    <col min="17" max="17" width="6.85546875" style="1" hidden="1" customWidth="1"/>
    <col min="18" max="19" width="5.85546875" style="1" customWidth="1"/>
    <col min="20" max="20" width="7" style="1" customWidth="1"/>
    <col min="21" max="21" width="5.85546875" style="1" customWidth="1"/>
    <col min="22" max="22" width="9" style="1" customWidth="1"/>
    <col min="23" max="23" width="1.7109375" style="1" customWidth="1"/>
    <col min="24" max="24" width="3.28515625" style="1" customWidth="1"/>
    <col min="25" max="16384" width="11.42578125" style="1"/>
  </cols>
  <sheetData>
    <row r="2" spans="1:25">
      <c r="B2" s="68" t="s">
        <v>0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</row>
    <row r="3" spans="1:25" ht="15" customHeight="1">
      <c r="B3" s="7" t="s">
        <v>1</v>
      </c>
      <c r="C3" s="6" t="s">
        <v>2</v>
      </c>
      <c r="D3" s="6"/>
      <c r="E3" s="11"/>
      <c r="F3" s="11"/>
      <c r="G3" s="11"/>
      <c r="H3" s="11"/>
      <c r="I3" s="11"/>
      <c r="J3" s="80" t="s">
        <v>3</v>
      </c>
      <c r="K3" s="80"/>
      <c r="L3" s="80" t="s">
        <v>4</v>
      </c>
      <c r="M3" s="80"/>
      <c r="N3" s="11" t="s">
        <v>5</v>
      </c>
      <c r="O3" s="14" t="s">
        <v>207</v>
      </c>
      <c r="P3" s="14"/>
      <c r="Q3" s="8"/>
      <c r="R3" s="8"/>
      <c r="S3" s="8" t="s">
        <v>7</v>
      </c>
      <c r="T3" s="8"/>
      <c r="U3" s="8"/>
      <c r="V3" s="8" t="s">
        <v>8</v>
      </c>
    </row>
    <row r="4" spans="1:25" s="2" customFormat="1" ht="15" customHeight="1">
      <c r="B4" s="70" t="s">
        <v>9</v>
      </c>
      <c r="C4" s="70" t="s">
        <v>10</v>
      </c>
      <c r="D4" s="72" t="s">
        <v>11</v>
      </c>
      <c r="E4" s="74" t="s">
        <v>12</v>
      </c>
      <c r="F4" s="75"/>
      <c r="G4" s="75"/>
      <c r="H4" s="75"/>
      <c r="I4" s="75"/>
      <c r="J4" s="76"/>
      <c r="K4" s="77" t="s">
        <v>13</v>
      </c>
      <c r="L4" s="78"/>
      <c r="M4" s="78"/>
      <c r="N4" s="79"/>
      <c r="O4" s="77" t="s">
        <v>14</v>
      </c>
      <c r="P4" s="78"/>
      <c r="Q4" s="78"/>
      <c r="R4" s="78"/>
      <c r="S4" s="78"/>
      <c r="T4" s="78"/>
      <c r="U4" s="78"/>
      <c r="V4" s="79"/>
    </row>
    <row r="5" spans="1:25" ht="33" customHeight="1">
      <c r="A5" s="2"/>
      <c r="B5" s="71"/>
      <c r="C5" s="71"/>
      <c r="D5" s="73"/>
      <c r="E5" s="12" t="s">
        <v>208</v>
      </c>
      <c r="F5" s="12" t="s">
        <v>209</v>
      </c>
      <c r="G5" s="12" t="s">
        <v>210</v>
      </c>
      <c r="H5" s="12" t="s">
        <v>211</v>
      </c>
      <c r="I5" s="13" t="s">
        <v>21</v>
      </c>
      <c r="J5" s="13" t="s">
        <v>22</v>
      </c>
      <c r="K5" s="12" t="s">
        <v>212</v>
      </c>
      <c r="L5" s="12" t="s">
        <v>213</v>
      </c>
      <c r="M5" s="12" t="s">
        <v>26</v>
      </c>
      <c r="N5" s="12" t="s">
        <v>27</v>
      </c>
      <c r="O5" s="12" t="s">
        <v>28</v>
      </c>
      <c r="P5" s="12" t="s">
        <v>29</v>
      </c>
      <c r="Q5" s="12" t="s">
        <v>30</v>
      </c>
      <c r="R5" s="12" t="s">
        <v>127</v>
      </c>
      <c r="S5" s="12"/>
      <c r="T5" s="12"/>
      <c r="U5" s="12"/>
      <c r="V5" s="12" t="s">
        <v>32</v>
      </c>
    </row>
    <row r="6" spans="1:25">
      <c r="A6" s="2">
        <v>1</v>
      </c>
      <c r="B6" s="3" t="s">
        <v>214</v>
      </c>
      <c r="C6" s="3" t="s">
        <v>215</v>
      </c>
      <c r="D6" s="4" t="s">
        <v>216</v>
      </c>
      <c r="E6" s="38">
        <f>(5+5+5)/3</f>
        <v>5</v>
      </c>
      <c r="F6" s="17">
        <v>5</v>
      </c>
      <c r="G6" s="3">
        <v>5</v>
      </c>
      <c r="H6" s="35">
        <f>(F6+G6)/2</f>
        <v>5</v>
      </c>
      <c r="I6" s="3">
        <f>(4.5+4.5+4.5+5+1)/5</f>
        <v>3.9</v>
      </c>
      <c r="J6" s="3"/>
      <c r="K6" s="16">
        <v>5</v>
      </c>
      <c r="L6" s="35">
        <v>5</v>
      </c>
      <c r="M6" s="42">
        <v>5</v>
      </c>
      <c r="N6" s="16">
        <v>4.4000000000000004</v>
      </c>
      <c r="O6" s="3"/>
      <c r="P6" s="3" t="s">
        <v>41</v>
      </c>
      <c r="Q6" s="3">
        <v>2</v>
      </c>
      <c r="R6" s="38">
        <v>3.5</v>
      </c>
      <c r="S6" s="17"/>
      <c r="T6" s="29"/>
      <c r="U6" s="17"/>
      <c r="V6" s="3">
        <v>4.8</v>
      </c>
    </row>
    <row r="7" spans="1:25">
      <c r="A7" s="2">
        <v>2</v>
      </c>
      <c r="B7" s="3" t="s">
        <v>217</v>
      </c>
      <c r="C7" s="3" t="s">
        <v>218</v>
      </c>
      <c r="D7" s="4" t="s">
        <v>219</v>
      </c>
      <c r="E7" s="38">
        <f>(5+5+4.5)/3</f>
        <v>4.833333333333333</v>
      </c>
      <c r="F7" s="22">
        <v>5</v>
      </c>
      <c r="G7" s="3">
        <v>5</v>
      </c>
      <c r="H7" s="35">
        <f t="shared" ref="H7:H38" si="0">(F7+G7)/2</f>
        <v>5</v>
      </c>
      <c r="I7" s="3">
        <f>(5+5+5+5+5)/5</f>
        <v>5</v>
      </c>
      <c r="J7" s="3"/>
      <c r="K7" s="16">
        <v>5</v>
      </c>
      <c r="L7" s="16">
        <v>5</v>
      </c>
      <c r="M7" s="42">
        <v>4.8</v>
      </c>
      <c r="N7" s="16">
        <v>5</v>
      </c>
      <c r="O7" s="22" t="s">
        <v>220</v>
      </c>
      <c r="P7" s="3" t="s">
        <v>41</v>
      </c>
      <c r="Q7" s="3">
        <v>12</v>
      </c>
      <c r="R7" s="38">
        <v>4.4000000000000004</v>
      </c>
      <c r="S7" s="17"/>
      <c r="T7" s="29"/>
      <c r="U7" s="17"/>
      <c r="V7" s="3">
        <v>5</v>
      </c>
      <c r="X7" s="23"/>
      <c r="Y7" s="19" t="s">
        <v>44</v>
      </c>
    </row>
    <row r="8" spans="1:25">
      <c r="A8" s="2">
        <v>3</v>
      </c>
      <c r="B8" s="3" t="s">
        <v>82</v>
      </c>
      <c r="C8" s="3" t="s">
        <v>221</v>
      </c>
      <c r="D8" s="4" t="s">
        <v>219</v>
      </c>
      <c r="E8" s="38">
        <f>(5+5+4.5)/3</f>
        <v>4.833333333333333</v>
      </c>
      <c r="F8" s="3">
        <v>5</v>
      </c>
      <c r="G8" s="3">
        <v>5</v>
      </c>
      <c r="H8" s="35">
        <f t="shared" si="0"/>
        <v>5</v>
      </c>
      <c r="I8" s="3">
        <f>(4+4+4+5+4.5)/5</f>
        <v>4.3</v>
      </c>
      <c r="J8" s="3"/>
      <c r="K8" s="36">
        <v>3.2</v>
      </c>
      <c r="L8" s="36">
        <v>3.2</v>
      </c>
      <c r="M8" s="42">
        <v>1.8</v>
      </c>
      <c r="N8" s="16">
        <v>3.9</v>
      </c>
      <c r="O8" s="22"/>
      <c r="P8" s="3" t="s">
        <v>41</v>
      </c>
      <c r="Q8" s="3">
        <v>2</v>
      </c>
      <c r="R8" s="38">
        <v>3.5</v>
      </c>
      <c r="S8" s="17"/>
      <c r="T8" s="29"/>
      <c r="U8" s="17"/>
      <c r="V8" s="3">
        <v>5</v>
      </c>
      <c r="X8" s="26"/>
      <c r="Y8" s="19" t="s">
        <v>50</v>
      </c>
    </row>
    <row r="9" spans="1:25">
      <c r="A9" s="2">
        <v>4</v>
      </c>
      <c r="B9" s="3" t="s">
        <v>144</v>
      </c>
      <c r="C9" s="3" t="s">
        <v>222</v>
      </c>
      <c r="D9" s="4" t="s">
        <v>216</v>
      </c>
      <c r="E9" s="38">
        <f>(5+5+5)/3</f>
        <v>5</v>
      </c>
      <c r="F9" s="3">
        <v>5</v>
      </c>
      <c r="G9" s="3">
        <v>5</v>
      </c>
      <c r="H9" s="35">
        <f t="shared" si="0"/>
        <v>5</v>
      </c>
      <c r="I9" s="3">
        <f>(5+4.5+4.5+5+1)/5</f>
        <v>4</v>
      </c>
      <c r="J9" s="3"/>
      <c r="K9" s="16">
        <v>5</v>
      </c>
      <c r="L9" s="16">
        <v>5</v>
      </c>
      <c r="M9" s="42">
        <v>4.7</v>
      </c>
      <c r="N9" s="17">
        <v>1</v>
      </c>
      <c r="O9" s="22" t="s">
        <v>38</v>
      </c>
      <c r="P9" s="3" t="s">
        <v>41</v>
      </c>
      <c r="Q9" s="3">
        <v>7</v>
      </c>
      <c r="R9" s="38">
        <v>3.8</v>
      </c>
      <c r="S9" s="17"/>
      <c r="T9" s="29"/>
      <c r="U9" s="17"/>
      <c r="V9" s="3">
        <v>4.8</v>
      </c>
      <c r="X9" s="27"/>
      <c r="Y9" s="19" t="s">
        <v>54</v>
      </c>
    </row>
    <row r="10" spans="1:25">
      <c r="A10" s="2">
        <v>5</v>
      </c>
      <c r="B10" s="3" t="s">
        <v>33</v>
      </c>
      <c r="C10" s="3" t="s">
        <v>223</v>
      </c>
      <c r="D10" s="4" t="s">
        <v>219</v>
      </c>
      <c r="E10" s="38">
        <f>(5+5+5)/3</f>
        <v>5</v>
      </c>
      <c r="F10" s="3">
        <v>1</v>
      </c>
      <c r="G10" s="3">
        <v>5</v>
      </c>
      <c r="H10" s="35">
        <f t="shared" si="0"/>
        <v>3</v>
      </c>
      <c r="I10" s="3">
        <f>(5+5+5+5+5)/5</f>
        <v>5</v>
      </c>
      <c r="J10" s="3"/>
      <c r="K10" s="16">
        <v>4.5</v>
      </c>
      <c r="L10" s="35">
        <v>4.5</v>
      </c>
      <c r="M10" s="42">
        <v>5</v>
      </c>
      <c r="N10" s="16">
        <v>4.9000000000000004</v>
      </c>
      <c r="O10" s="22" t="s">
        <v>38</v>
      </c>
      <c r="P10" s="3"/>
      <c r="Q10" s="3">
        <v>5</v>
      </c>
      <c r="R10" s="38">
        <v>3.8</v>
      </c>
      <c r="S10" s="17"/>
      <c r="T10" s="29"/>
      <c r="U10" s="17"/>
      <c r="V10" s="3">
        <v>4.5</v>
      </c>
      <c r="X10" s="25"/>
      <c r="Y10" s="19" t="s">
        <v>58</v>
      </c>
    </row>
    <row r="11" spans="1:25">
      <c r="A11" s="2">
        <v>6</v>
      </c>
      <c r="B11" s="3" t="s">
        <v>224</v>
      </c>
      <c r="C11" s="3" t="s">
        <v>225</v>
      </c>
      <c r="D11" s="4" t="s">
        <v>216</v>
      </c>
      <c r="E11" s="38">
        <f>(5+4.5+4)/3</f>
        <v>4.5</v>
      </c>
      <c r="F11" s="3">
        <v>5</v>
      </c>
      <c r="G11" s="3">
        <v>1</v>
      </c>
      <c r="H11" s="35">
        <f t="shared" si="0"/>
        <v>3</v>
      </c>
      <c r="I11" s="3">
        <f>(3.5+4+5+5+1)/5</f>
        <v>3.7</v>
      </c>
      <c r="J11" s="3"/>
      <c r="K11" s="16">
        <v>5</v>
      </c>
      <c r="L11" s="16">
        <v>5</v>
      </c>
      <c r="M11" s="42">
        <v>3.5</v>
      </c>
      <c r="N11" s="17">
        <v>1</v>
      </c>
      <c r="O11" s="3"/>
      <c r="P11" s="3"/>
      <c r="Q11" s="3"/>
      <c r="R11" s="38">
        <v>3.2</v>
      </c>
      <c r="S11" s="17"/>
      <c r="T11" s="29"/>
      <c r="U11" s="17"/>
      <c r="V11" s="3">
        <v>3.9</v>
      </c>
      <c r="X11" s="28"/>
      <c r="Y11" s="19" t="s">
        <v>62</v>
      </c>
    </row>
    <row r="12" spans="1:25" s="2" customFormat="1" ht="15" customHeight="1">
      <c r="A12" s="2">
        <v>7</v>
      </c>
      <c r="B12" s="3" t="s">
        <v>86</v>
      </c>
      <c r="C12" s="10" t="s">
        <v>226</v>
      </c>
      <c r="D12" s="9" t="s">
        <v>216</v>
      </c>
      <c r="E12" s="38">
        <f>(5+5+5)/3</f>
        <v>5</v>
      </c>
      <c r="F12" s="3">
        <v>5</v>
      </c>
      <c r="G12" s="3">
        <v>5</v>
      </c>
      <c r="H12" s="35">
        <f t="shared" si="0"/>
        <v>5</v>
      </c>
      <c r="I12" s="3">
        <f>(4.5+5+5+5+5)/5</f>
        <v>4.9000000000000004</v>
      </c>
      <c r="J12" s="3"/>
      <c r="K12" s="16">
        <v>5</v>
      </c>
      <c r="L12" s="16">
        <v>5</v>
      </c>
      <c r="M12" s="42">
        <v>5</v>
      </c>
      <c r="N12" s="16">
        <v>4.8</v>
      </c>
      <c r="O12" s="22" t="s">
        <v>220</v>
      </c>
      <c r="P12" s="16" t="s">
        <v>41</v>
      </c>
      <c r="Q12" s="3">
        <v>12</v>
      </c>
      <c r="R12" s="38">
        <v>4.4000000000000004</v>
      </c>
      <c r="S12" s="17"/>
      <c r="T12" s="29"/>
      <c r="U12" s="17"/>
      <c r="V12" s="3">
        <v>4.8</v>
      </c>
    </row>
    <row r="13" spans="1:25">
      <c r="A13" s="2">
        <v>8</v>
      </c>
      <c r="B13" s="3" t="s">
        <v>227</v>
      </c>
      <c r="C13" s="3" t="s">
        <v>228</v>
      </c>
      <c r="D13" s="4" t="s">
        <v>219</v>
      </c>
      <c r="E13" s="38">
        <f>(5+5+4.5)/3</f>
        <v>4.833333333333333</v>
      </c>
      <c r="F13" s="3">
        <v>5</v>
      </c>
      <c r="G13" s="3">
        <v>1</v>
      </c>
      <c r="H13" s="35">
        <f t="shared" si="0"/>
        <v>3</v>
      </c>
      <c r="I13" s="3">
        <f>(3.5+3.5+4+5+4.5)/5</f>
        <v>4.0999999999999996</v>
      </c>
      <c r="J13" s="3"/>
      <c r="K13" s="16">
        <v>2.5</v>
      </c>
      <c r="L13" s="16">
        <v>2.5</v>
      </c>
      <c r="M13" s="42">
        <v>3.6</v>
      </c>
      <c r="N13" s="17">
        <v>1</v>
      </c>
      <c r="O13" s="3"/>
      <c r="P13" s="3" t="s">
        <v>41</v>
      </c>
      <c r="Q13" s="3">
        <v>2</v>
      </c>
      <c r="R13" s="38">
        <v>3.5</v>
      </c>
      <c r="S13" s="17"/>
      <c r="T13" s="29"/>
      <c r="U13" s="17"/>
      <c r="V13" s="3">
        <v>4</v>
      </c>
    </row>
    <row r="14" spans="1:25">
      <c r="A14" s="2">
        <v>9</v>
      </c>
      <c r="B14" s="3" t="s">
        <v>229</v>
      </c>
      <c r="C14" s="3" t="s">
        <v>230</v>
      </c>
      <c r="D14" s="4" t="s">
        <v>216</v>
      </c>
      <c r="E14" s="38">
        <f>(5+4.5+5)/3</f>
        <v>4.833333333333333</v>
      </c>
      <c r="F14" s="3">
        <v>5</v>
      </c>
      <c r="G14" s="3">
        <v>5</v>
      </c>
      <c r="H14" s="35">
        <f t="shared" si="0"/>
        <v>5</v>
      </c>
      <c r="I14" s="3">
        <f>(3.5+3.5+5+5+1)/5</f>
        <v>3.6</v>
      </c>
      <c r="J14" s="3"/>
      <c r="K14" s="16">
        <v>5</v>
      </c>
      <c r="L14" s="16">
        <v>5</v>
      </c>
      <c r="M14" s="42">
        <v>4.0999999999999996</v>
      </c>
      <c r="N14" s="16">
        <v>4.7</v>
      </c>
      <c r="O14" s="3"/>
      <c r="P14" s="3"/>
      <c r="Q14" s="3"/>
      <c r="R14" s="38">
        <v>3.2</v>
      </c>
      <c r="S14" s="17"/>
      <c r="T14" s="29"/>
      <c r="U14" s="17"/>
      <c r="V14" s="3">
        <v>4.4000000000000004</v>
      </c>
    </row>
    <row r="15" spans="1:25">
      <c r="A15" s="2">
        <v>10</v>
      </c>
      <c r="B15" s="3" t="s">
        <v>231</v>
      </c>
      <c r="C15" s="3" t="s">
        <v>232</v>
      </c>
      <c r="D15" s="4" t="s">
        <v>216</v>
      </c>
      <c r="E15" s="38">
        <f>(5+4.5+5)/3</f>
        <v>4.833333333333333</v>
      </c>
      <c r="F15" s="3">
        <v>5</v>
      </c>
      <c r="G15" s="3">
        <v>5</v>
      </c>
      <c r="H15" s="35">
        <f t="shared" si="0"/>
        <v>5</v>
      </c>
      <c r="I15" s="3">
        <f>(3.5+3.5+5+5+1)/5</f>
        <v>3.6</v>
      </c>
      <c r="J15" s="3"/>
      <c r="K15" s="16">
        <v>4.2</v>
      </c>
      <c r="L15" s="16">
        <v>5</v>
      </c>
      <c r="M15" s="42">
        <v>2</v>
      </c>
      <c r="N15" s="17">
        <v>1</v>
      </c>
      <c r="O15" s="3"/>
      <c r="P15" s="3"/>
      <c r="Q15" s="3"/>
      <c r="R15" s="38">
        <v>3.2</v>
      </c>
      <c r="S15" s="17"/>
      <c r="T15" s="29"/>
      <c r="U15" s="17"/>
      <c r="V15" s="3">
        <v>4</v>
      </c>
    </row>
    <row r="16" spans="1:25">
      <c r="A16" s="2">
        <v>11</v>
      </c>
      <c r="B16" s="3" t="s">
        <v>233</v>
      </c>
      <c r="C16" s="3" t="s">
        <v>234</v>
      </c>
      <c r="D16" s="4" t="s">
        <v>219</v>
      </c>
      <c r="E16" s="38">
        <f>(5+4.5+5)/3</f>
        <v>4.833333333333333</v>
      </c>
      <c r="F16" s="3">
        <v>5</v>
      </c>
      <c r="G16" s="3">
        <v>5</v>
      </c>
      <c r="H16" s="35">
        <f t="shared" si="0"/>
        <v>5</v>
      </c>
      <c r="I16" s="3">
        <f>(4+4+5+5+5)/5</f>
        <v>4.5999999999999996</v>
      </c>
      <c r="J16" s="3"/>
      <c r="K16" s="47">
        <v>1</v>
      </c>
      <c r="L16" s="47">
        <v>1</v>
      </c>
      <c r="M16" s="42">
        <v>2</v>
      </c>
      <c r="N16" s="16">
        <v>4.4000000000000004</v>
      </c>
      <c r="O16" s="22"/>
      <c r="P16" s="3" t="s">
        <v>41</v>
      </c>
      <c r="Q16" s="3">
        <v>2</v>
      </c>
      <c r="R16" s="38">
        <v>3.5</v>
      </c>
      <c r="S16" s="17"/>
      <c r="T16" s="29"/>
      <c r="U16" s="17"/>
      <c r="V16" s="3">
        <v>4.2</v>
      </c>
    </row>
    <row r="17" spans="1:22">
      <c r="A17" s="2">
        <v>12</v>
      </c>
      <c r="B17" s="3" t="s">
        <v>235</v>
      </c>
      <c r="C17" s="3" t="s">
        <v>236</v>
      </c>
      <c r="D17" s="4" t="s">
        <v>216</v>
      </c>
      <c r="E17" s="38">
        <f>(5+5+1)/3</f>
        <v>3.6666666666666665</v>
      </c>
      <c r="F17" s="3">
        <v>5</v>
      </c>
      <c r="G17" s="3">
        <v>5</v>
      </c>
      <c r="H17" s="35">
        <f t="shared" si="0"/>
        <v>5</v>
      </c>
      <c r="I17" s="3">
        <f>(3.5+3.5+5+5+5)/5</f>
        <v>4.4000000000000004</v>
      </c>
      <c r="J17" s="3"/>
      <c r="K17" s="16">
        <v>4.5</v>
      </c>
      <c r="L17" s="16">
        <v>1</v>
      </c>
      <c r="M17" s="42">
        <v>3.4</v>
      </c>
      <c r="N17" s="17">
        <v>1</v>
      </c>
      <c r="O17" s="22" t="s">
        <v>38</v>
      </c>
      <c r="P17" s="3" t="s">
        <v>41</v>
      </c>
      <c r="Q17" s="3">
        <v>7</v>
      </c>
      <c r="R17" s="38">
        <v>3.8</v>
      </c>
      <c r="S17" s="17"/>
      <c r="T17" s="29"/>
      <c r="U17" s="17"/>
      <c r="V17" s="3">
        <v>3.8</v>
      </c>
    </row>
    <row r="18" spans="1:22">
      <c r="A18" s="2">
        <v>13</v>
      </c>
      <c r="B18" s="3" t="s">
        <v>237</v>
      </c>
      <c r="C18" s="3" t="s">
        <v>238</v>
      </c>
      <c r="D18" s="4" t="s">
        <v>219</v>
      </c>
      <c r="E18" s="38">
        <f>(5+5+4.5)/3</f>
        <v>4.833333333333333</v>
      </c>
      <c r="F18" s="3">
        <v>5</v>
      </c>
      <c r="G18" s="3">
        <v>1</v>
      </c>
      <c r="H18" s="35">
        <f t="shared" si="0"/>
        <v>3</v>
      </c>
      <c r="I18" s="3">
        <f>(5+5+4.5+5+4)/5</f>
        <v>4.7</v>
      </c>
      <c r="J18" s="3"/>
      <c r="K18" s="16">
        <v>5</v>
      </c>
      <c r="L18" s="16">
        <v>5</v>
      </c>
      <c r="M18" s="42">
        <v>5</v>
      </c>
      <c r="N18" s="16">
        <v>5</v>
      </c>
      <c r="O18" s="3" t="s">
        <v>239</v>
      </c>
      <c r="P18" s="3" t="s">
        <v>42</v>
      </c>
      <c r="Q18" s="3">
        <v>24</v>
      </c>
      <c r="R18" s="38">
        <v>5</v>
      </c>
      <c r="S18" s="17"/>
      <c r="T18" s="29"/>
      <c r="U18" s="17"/>
      <c r="V18" s="3">
        <v>5</v>
      </c>
    </row>
    <row r="19" spans="1:22" ht="15" customHeight="1">
      <c r="A19" s="2">
        <v>14</v>
      </c>
      <c r="B19" s="3" t="s">
        <v>86</v>
      </c>
      <c r="C19" s="3" t="s">
        <v>240</v>
      </c>
      <c r="D19" s="4" t="s">
        <v>216</v>
      </c>
      <c r="E19" s="38">
        <f>(4.5+5+4.5)/3</f>
        <v>4.666666666666667</v>
      </c>
      <c r="F19" s="3">
        <v>1</v>
      </c>
      <c r="G19" s="3">
        <v>1</v>
      </c>
      <c r="H19" s="35">
        <f t="shared" si="0"/>
        <v>1</v>
      </c>
      <c r="I19" s="3">
        <f>(4+3.5+5+5+5)/5</f>
        <v>4.5</v>
      </c>
      <c r="J19" s="3"/>
      <c r="K19" s="16">
        <v>1</v>
      </c>
      <c r="L19" s="16">
        <v>1</v>
      </c>
      <c r="M19" s="42">
        <v>5</v>
      </c>
      <c r="N19" s="16">
        <v>4.3</v>
      </c>
      <c r="O19" s="3"/>
      <c r="P19" s="3"/>
      <c r="Q19" s="3"/>
      <c r="R19" s="38">
        <v>3.2</v>
      </c>
      <c r="S19" s="17"/>
      <c r="T19" s="29"/>
      <c r="U19" s="17"/>
      <c r="V19" s="3">
        <v>4.2</v>
      </c>
    </row>
    <row r="20" spans="1:22">
      <c r="A20" s="2">
        <v>15</v>
      </c>
      <c r="B20" s="3" t="s">
        <v>241</v>
      </c>
      <c r="C20" s="3" t="s">
        <v>242</v>
      </c>
      <c r="D20" s="4" t="s">
        <v>216</v>
      </c>
      <c r="E20" s="38">
        <f>(5+5+4.5)/3</f>
        <v>4.833333333333333</v>
      </c>
      <c r="F20" s="3">
        <v>5</v>
      </c>
      <c r="G20" s="3">
        <v>5</v>
      </c>
      <c r="H20" s="35">
        <f t="shared" si="0"/>
        <v>5</v>
      </c>
      <c r="I20" s="3">
        <f>(5+5+5+5+5)/5</f>
        <v>5</v>
      </c>
      <c r="J20" s="3"/>
      <c r="K20" s="16">
        <v>5</v>
      </c>
      <c r="L20" s="16">
        <v>5</v>
      </c>
      <c r="M20" s="42">
        <v>5</v>
      </c>
      <c r="N20" s="17">
        <v>1</v>
      </c>
      <c r="O20" s="22" t="s">
        <v>38</v>
      </c>
      <c r="P20" s="3"/>
      <c r="Q20" s="3">
        <v>5</v>
      </c>
      <c r="R20" s="38">
        <v>3.8</v>
      </c>
      <c r="S20" s="17"/>
      <c r="T20" s="29"/>
      <c r="U20" s="17"/>
      <c r="V20" s="3">
        <v>4.5</v>
      </c>
    </row>
    <row r="21" spans="1:22">
      <c r="A21" s="2">
        <v>16</v>
      </c>
      <c r="B21" s="3" t="s">
        <v>243</v>
      </c>
      <c r="C21" s="3" t="s">
        <v>244</v>
      </c>
      <c r="D21" s="4" t="s">
        <v>216</v>
      </c>
      <c r="E21" s="38">
        <f>(5+5+5)/3</f>
        <v>5</v>
      </c>
      <c r="F21" s="3">
        <v>5</v>
      </c>
      <c r="G21" s="3">
        <v>5</v>
      </c>
      <c r="H21" s="35">
        <f t="shared" si="0"/>
        <v>5</v>
      </c>
      <c r="I21" s="3">
        <f>(5+5+4.5+5+1)/5</f>
        <v>4.0999999999999996</v>
      </c>
      <c r="J21" s="3"/>
      <c r="K21" s="16">
        <v>5</v>
      </c>
      <c r="L21" s="16">
        <v>5</v>
      </c>
      <c r="M21" s="42">
        <v>2.5</v>
      </c>
      <c r="N21" s="17">
        <v>1</v>
      </c>
      <c r="O21" s="3"/>
      <c r="P21" s="3" t="s">
        <v>41</v>
      </c>
      <c r="Q21" s="3">
        <v>2</v>
      </c>
      <c r="R21" s="38">
        <v>3.5</v>
      </c>
      <c r="S21" s="17"/>
      <c r="T21" s="29"/>
      <c r="U21" s="17"/>
      <c r="V21" s="3">
        <v>4.7</v>
      </c>
    </row>
    <row r="22" spans="1:22">
      <c r="A22" s="2">
        <v>17</v>
      </c>
      <c r="B22" s="3" t="s">
        <v>214</v>
      </c>
      <c r="C22" s="3" t="s">
        <v>245</v>
      </c>
      <c r="D22" s="4" t="s">
        <v>219</v>
      </c>
      <c r="E22" s="38">
        <f>(5+4.5+5)/3</f>
        <v>4.833333333333333</v>
      </c>
      <c r="F22" s="3">
        <v>5</v>
      </c>
      <c r="G22" s="3">
        <v>5</v>
      </c>
      <c r="H22" s="35">
        <f t="shared" si="0"/>
        <v>5</v>
      </c>
      <c r="I22" s="3">
        <f>(4+4+5+5+5)/5</f>
        <v>4.5999999999999996</v>
      </c>
      <c r="J22" s="3"/>
      <c r="K22" s="16">
        <v>1</v>
      </c>
      <c r="L22" s="16">
        <v>1</v>
      </c>
      <c r="M22" s="42">
        <v>4.2</v>
      </c>
      <c r="N22" s="16">
        <v>4.7</v>
      </c>
      <c r="O22" s="22"/>
      <c r="P22" s="3" t="s">
        <v>41</v>
      </c>
      <c r="Q22" s="3">
        <v>2</v>
      </c>
      <c r="R22" s="38">
        <v>3.5</v>
      </c>
      <c r="S22" s="17"/>
      <c r="T22" s="29"/>
      <c r="U22" s="17"/>
      <c r="V22" s="3">
        <v>4.5999999999999996</v>
      </c>
    </row>
    <row r="23" spans="1:22">
      <c r="A23" s="2">
        <v>18</v>
      </c>
      <c r="B23" s="3" t="s">
        <v>90</v>
      </c>
      <c r="C23" s="3" t="s">
        <v>246</v>
      </c>
      <c r="D23" s="4" t="s">
        <v>219</v>
      </c>
      <c r="E23" s="38">
        <f>(5+5+5)/3</f>
        <v>5</v>
      </c>
      <c r="F23" s="3">
        <v>5</v>
      </c>
      <c r="G23" s="3">
        <v>1</v>
      </c>
      <c r="H23" s="35">
        <f t="shared" si="0"/>
        <v>3</v>
      </c>
      <c r="I23" s="3">
        <f>(4+4+5+5+5)/5</f>
        <v>4.5999999999999996</v>
      </c>
      <c r="J23" s="3"/>
      <c r="K23" s="16">
        <v>4</v>
      </c>
      <c r="L23" s="16">
        <v>4.2</v>
      </c>
      <c r="M23" s="42">
        <v>5</v>
      </c>
      <c r="N23" s="16">
        <v>4.9000000000000004</v>
      </c>
      <c r="O23" s="3"/>
      <c r="P23" s="3"/>
      <c r="Q23" s="3"/>
      <c r="R23" s="38">
        <v>3.2</v>
      </c>
      <c r="S23" s="17"/>
      <c r="T23" s="29"/>
      <c r="U23" s="17"/>
      <c r="V23" s="3">
        <v>4</v>
      </c>
    </row>
    <row r="24" spans="1:22">
      <c r="A24" s="2">
        <v>19</v>
      </c>
      <c r="B24" s="3" t="s">
        <v>247</v>
      </c>
      <c r="C24" s="3" t="s">
        <v>248</v>
      </c>
      <c r="D24" s="4" t="s">
        <v>219</v>
      </c>
      <c r="E24" s="37">
        <v>1</v>
      </c>
      <c r="F24" s="3">
        <v>1</v>
      </c>
      <c r="G24" s="3">
        <v>5</v>
      </c>
      <c r="H24" s="35">
        <f t="shared" si="0"/>
        <v>3</v>
      </c>
      <c r="I24" s="3">
        <v>1</v>
      </c>
      <c r="J24" s="3"/>
      <c r="K24" s="16">
        <v>1</v>
      </c>
      <c r="L24" s="16">
        <v>1</v>
      </c>
      <c r="M24" s="42">
        <v>4.7</v>
      </c>
      <c r="N24" s="17">
        <v>1</v>
      </c>
      <c r="O24" s="3" t="s">
        <v>220</v>
      </c>
      <c r="P24" s="3" t="s">
        <v>41</v>
      </c>
      <c r="Q24" s="3">
        <v>12</v>
      </c>
      <c r="R24" s="38">
        <v>4.4000000000000004</v>
      </c>
      <c r="S24" s="17"/>
      <c r="T24" s="29"/>
      <c r="U24" s="17"/>
      <c r="V24" s="3">
        <v>4.2</v>
      </c>
    </row>
    <row r="25" spans="1:22">
      <c r="A25" s="2">
        <v>20</v>
      </c>
      <c r="B25" s="3" t="s">
        <v>249</v>
      </c>
      <c r="C25" s="3" t="s">
        <v>250</v>
      </c>
      <c r="D25" s="4" t="s">
        <v>219</v>
      </c>
      <c r="E25" s="45">
        <v>3.5</v>
      </c>
      <c r="F25" s="45">
        <v>3.5</v>
      </c>
      <c r="G25" s="3">
        <v>1</v>
      </c>
      <c r="H25" s="58">
        <v>3.2</v>
      </c>
      <c r="I25" s="3">
        <f>(3.5+3.5+5+5+4)/5</f>
        <v>4.2</v>
      </c>
      <c r="J25" s="3"/>
      <c r="K25" s="36">
        <v>3.5</v>
      </c>
      <c r="L25" s="36">
        <v>3.5</v>
      </c>
      <c r="M25" s="42">
        <v>5</v>
      </c>
      <c r="N25" s="17">
        <v>1</v>
      </c>
      <c r="O25" s="3"/>
      <c r="P25" s="3"/>
      <c r="Q25" s="3"/>
      <c r="R25" s="38">
        <v>3.2</v>
      </c>
      <c r="S25" s="17"/>
      <c r="T25" s="29"/>
      <c r="U25" s="17"/>
      <c r="V25" s="3">
        <v>4.2</v>
      </c>
    </row>
    <row r="26" spans="1:22">
      <c r="A26" s="2">
        <v>21</v>
      </c>
      <c r="B26" s="3" t="s">
        <v>93</v>
      </c>
      <c r="C26" s="3" t="s">
        <v>251</v>
      </c>
      <c r="D26" s="4" t="s">
        <v>219</v>
      </c>
      <c r="E26" s="38">
        <f>(5+4.5+4.5)/3</f>
        <v>4.666666666666667</v>
      </c>
      <c r="F26" s="3">
        <v>3.3</v>
      </c>
      <c r="G26" s="3">
        <v>4</v>
      </c>
      <c r="H26" s="35">
        <f t="shared" si="0"/>
        <v>3.65</v>
      </c>
      <c r="I26" s="3">
        <f>(4+4+4+5+4.5)/5</f>
        <v>4.3</v>
      </c>
      <c r="J26" s="3"/>
      <c r="K26" s="16">
        <v>3.5</v>
      </c>
      <c r="L26" s="16">
        <v>3.8</v>
      </c>
      <c r="M26" s="42">
        <v>4.9000000000000004</v>
      </c>
      <c r="N26" s="17">
        <v>1</v>
      </c>
      <c r="O26" s="3"/>
      <c r="P26" s="3" t="s">
        <v>41</v>
      </c>
      <c r="Q26" s="3">
        <v>2</v>
      </c>
      <c r="R26" s="38">
        <v>3.5</v>
      </c>
      <c r="S26" s="17"/>
      <c r="T26" s="29"/>
      <c r="U26" s="17"/>
      <c r="V26" s="3">
        <v>4.4000000000000004</v>
      </c>
    </row>
    <row r="27" spans="1:22">
      <c r="A27" s="2">
        <v>22</v>
      </c>
      <c r="B27" s="3" t="s">
        <v>93</v>
      </c>
      <c r="C27" s="3" t="s">
        <v>252</v>
      </c>
      <c r="D27" s="4" t="s">
        <v>219</v>
      </c>
      <c r="E27" s="38">
        <f>(5+4.5+4.5)/3</f>
        <v>4.666666666666667</v>
      </c>
      <c r="F27" s="3">
        <v>1</v>
      </c>
      <c r="G27" s="3">
        <v>5</v>
      </c>
      <c r="H27" s="35">
        <f t="shared" si="0"/>
        <v>3</v>
      </c>
      <c r="I27" s="3">
        <v>1</v>
      </c>
      <c r="J27" s="3"/>
      <c r="K27" s="16">
        <v>1</v>
      </c>
      <c r="L27" s="35">
        <v>1</v>
      </c>
      <c r="M27" s="42">
        <v>2.6</v>
      </c>
      <c r="N27" s="17">
        <v>1</v>
      </c>
      <c r="O27" s="22"/>
      <c r="P27" s="3" t="s">
        <v>41</v>
      </c>
      <c r="Q27" s="3">
        <v>2</v>
      </c>
      <c r="R27" s="38">
        <v>3.5</v>
      </c>
      <c r="S27" s="17"/>
      <c r="T27" s="29"/>
      <c r="U27" s="17"/>
      <c r="V27" s="3">
        <v>4.3</v>
      </c>
    </row>
    <row r="28" spans="1:22" ht="16.5" customHeight="1">
      <c r="A28" s="2">
        <v>23</v>
      </c>
      <c r="B28" s="3" t="s">
        <v>253</v>
      </c>
      <c r="C28" s="3" t="s">
        <v>254</v>
      </c>
      <c r="D28" s="4" t="s">
        <v>216</v>
      </c>
      <c r="E28" s="38">
        <f>(5+4+4)/3</f>
        <v>4.333333333333333</v>
      </c>
      <c r="F28" s="3">
        <v>1</v>
      </c>
      <c r="G28" s="3">
        <v>1</v>
      </c>
      <c r="H28" s="35">
        <f t="shared" si="0"/>
        <v>1</v>
      </c>
      <c r="I28" s="3">
        <f>(4.5+4+4.5+5+1)/5</f>
        <v>3.8</v>
      </c>
      <c r="J28" s="3"/>
      <c r="K28" s="16">
        <v>1</v>
      </c>
      <c r="L28" s="35">
        <v>1</v>
      </c>
      <c r="M28" s="42">
        <v>3.4</v>
      </c>
      <c r="N28" s="17">
        <v>1</v>
      </c>
      <c r="O28" s="3"/>
      <c r="P28" s="3"/>
      <c r="Q28" s="3"/>
      <c r="R28" s="38">
        <v>3.2</v>
      </c>
      <c r="S28" s="17"/>
      <c r="T28" s="29"/>
      <c r="U28" s="17"/>
      <c r="V28" s="3">
        <v>3.8</v>
      </c>
    </row>
    <row r="29" spans="1:22">
      <c r="A29" s="2">
        <v>24</v>
      </c>
      <c r="B29" s="3" t="s">
        <v>255</v>
      </c>
      <c r="C29" s="3" t="s">
        <v>256</v>
      </c>
      <c r="D29" s="4" t="s">
        <v>216</v>
      </c>
      <c r="E29" s="38">
        <f>(5+4+4.5)/3</f>
        <v>4.5</v>
      </c>
      <c r="F29" s="3">
        <v>1</v>
      </c>
      <c r="G29" s="3">
        <v>1</v>
      </c>
      <c r="H29" s="35">
        <f t="shared" si="0"/>
        <v>1</v>
      </c>
      <c r="I29" s="3">
        <f>(3.5+3.5+5+5+5)/5</f>
        <v>4.4000000000000004</v>
      </c>
      <c r="J29" s="3"/>
      <c r="K29" s="16">
        <v>1</v>
      </c>
      <c r="L29" s="35">
        <v>1</v>
      </c>
      <c r="M29" s="42">
        <v>4</v>
      </c>
      <c r="N29" s="17">
        <v>1</v>
      </c>
      <c r="O29" s="3"/>
      <c r="P29" s="3"/>
      <c r="Q29" s="3"/>
      <c r="R29" s="38">
        <v>3.2</v>
      </c>
      <c r="S29" s="17"/>
      <c r="T29" s="29"/>
      <c r="U29" s="17"/>
      <c r="V29" s="3">
        <v>4</v>
      </c>
    </row>
    <row r="30" spans="1:22">
      <c r="A30" s="2">
        <v>25</v>
      </c>
      <c r="B30" s="3" t="s">
        <v>257</v>
      </c>
      <c r="C30" s="3" t="s">
        <v>258</v>
      </c>
      <c r="D30" s="4" t="s">
        <v>219</v>
      </c>
      <c r="E30" s="38">
        <f>(5+5+4.5)/3</f>
        <v>4.833333333333333</v>
      </c>
      <c r="F30" s="17">
        <v>5</v>
      </c>
      <c r="G30" s="3">
        <v>5</v>
      </c>
      <c r="H30" s="35">
        <f t="shared" si="0"/>
        <v>5</v>
      </c>
      <c r="I30" s="3">
        <f>(4+4+4.5+5+4)/5</f>
        <v>4.3</v>
      </c>
      <c r="J30" s="3"/>
      <c r="K30" s="36">
        <v>3.5</v>
      </c>
      <c r="L30" s="36">
        <v>3.5</v>
      </c>
      <c r="M30" s="42">
        <v>3.7</v>
      </c>
      <c r="N30" s="17">
        <v>1</v>
      </c>
      <c r="O30" s="3" t="s">
        <v>259</v>
      </c>
      <c r="P30" s="3" t="s">
        <v>41</v>
      </c>
      <c r="Q30" s="3">
        <v>17</v>
      </c>
      <c r="R30" s="38">
        <v>4.7</v>
      </c>
      <c r="S30" s="17"/>
      <c r="T30" s="29"/>
      <c r="U30" s="17"/>
      <c r="V30" s="3">
        <v>4.2</v>
      </c>
    </row>
    <row r="31" spans="1:22">
      <c r="A31" s="2">
        <v>26</v>
      </c>
      <c r="B31" s="3" t="s">
        <v>260</v>
      </c>
      <c r="C31" s="3" t="s">
        <v>261</v>
      </c>
      <c r="D31" s="4" t="s">
        <v>216</v>
      </c>
      <c r="E31" s="38">
        <f>(3.5+4+4.5)/3</f>
        <v>4</v>
      </c>
      <c r="F31" s="3">
        <v>5</v>
      </c>
      <c r="G31" s="3">
        <v>5</v>
      </c>
      <c r="H31" s="35">
        <f t="shared" si="0"/>
        <v>5</v>
      </c>
      <c r="I31" s="3">
        <f>(4.5+4+5+5+5)/5</f>
        <v>4.7</v>
      </c>
      <c r="J31" s="3"/>
      <c r="K31" s="16">
        <v>4.5</v>
      </c>
      <c r="L31" s="35">
        <v>3.8</v>
      </c>
      <c r="M31" s="42">
        <v>4.7</v>
      </c>
      <c r="N31" s="17">
        <v>1</v>
      </c>
      <c r="O31" s="3"/>
      <c r="P31" s="22"/>
      <c r="Q31" s="3"/>
      <c r="R31" s="38">
        <v>3.2</v>
      </c>
      <c r="S31" s="17"/>
      <c r="T31" s="29"/>
      <c r="U31" s="17"/>
      <c r="V31" s="3">
        <v>4.7</v>
      </c>
    </row>
    <row r="32" spans="1:22">
      <c r="A32" s="2">
        <v>27</v>
      </c>
      <c r="B32" s="3" t="s">
        <v>150</v>
      </c>
      <c r="C32" s="3" t="s">
        <v>262</v>
      </c>
      <c r="D32" s="4" t="s">
        <v>219</v>
      </c>
      <c r="E32" s="38">
        <f>(5+5+5)/3</f>
        <v>5</v>
      </c>
      <c r="F32" s="3">
        <v>5</v>
      </c>
      <c r="G32" s="3">
        <v>5</v>
      </c>
      <c r="H32" s="35">
        <f t="shared" si="0"/>
        <v>5</v>
      </c>
      <c r="I32" s="3">
        <f>(4.5+4.5+4.5+5+4)/5</f>
        <v>4.5</v>
      </c>
      <c r="J32" s="3"/>
      <c r="K32" s="16">
        <v>1</v>
      </c>
      <c r="L32" s="35">
        <v>1</v>
      </c>
      <c r="M32" s="42">
        <v>4</v>
      </c>
      <c r="N32" s="17">
        <v>1</v>
      </c>
      <c r="O32" s="3"/>
      <c r="P32" s="3" t="s">
        <v>41</v>
      </c>
      <c r="Q32" s="3">
        <v>2</v>
      </c>
      <c r="R32" s="38">
        <v>3.5</v>
      </c>
      <c r="S32" s="17"/>
      <c r="T32" s="29"/>
      <c r="U32" s="17"/>
      <c r="V32" s="3">
        <v>4.5999999999999996</v>
      </c>
    </row>
    <row r="33" spans="1:22">
      <c r="A33" s="2">
        <v>28</v>
      </c>
      <c r="B33" s="3" t="s">
        <v>193</v>
      </c>
      <c r="C33" s="3" t="s">
        <v>263</v>
      </c>
      <c r="D33" s="4" t="s">
        <v>216</v>
      </c>
      <c r="E33" s="38">
        <f>(5+4+4.5)/3</f>
        <v>4.5</v>
      </c>
      <c r="F33" s="3">
        <v>5</v>
      </c>
      <c r="G33" s="3">
        <v>4</v>
      </c>
      <c r="H33" s="35">
        <f t="shared" si="0"/>
        <v>4.5</v>
      </c>
      <c r="I33" s="3">
        <f>(3.5+3.5+5+5+5)/5</f>
        <v>4.4000000000000004</v>
      </c>
      <c r="J33" s="3"/>
      <c r="K33" s="16">
        <v>1</v>
      </c>
      <c r="L33" s="35">
        <v>1</v>
      </c>
      <c r="M33" s="42">
        <v>3.7</v>
      </c>
      <c r="N33" s="17">
        <v>1</v>
      </c>
      <c r="O33" s="3"/>
      <c r="P33" s="3" t="s">
        <v>41</v>
      </c>
      <c r="Q33" s="3">
        <v>2</v>
      </c>
      <c r="R33" s="38">
        <v>3.5</v>
      </c>
      <c r="S33" s="17"/>
      <c r="T33" s="29"/>
      <c r="U33" s="17"/>
      <c r="V33" s="3">
        <v>4.5999999999999996</v>
      </c>
    </row>
    <row r="34" spans="1:22">
      <c r="A34" s="2">
        <v>29</v>
      </c>
      <c r="B34" s="3" t="s">
        <v>264</v>
      </c>
      <c r="C34" s="3" t="s">
        <v>89</v>
      </c>
      <c r="D34" s="4" t="s">
        <v>216</v>
      </c>
      <c r="E34" s="37">
        <v>1</v>
      </c>
      <c r="F34" s="3">
        <v>1</v>
      </c>
      <c r="G34" s="3">
        <v>1</v>
      </c>
      <c r="H34" s="35">
        <f t="shared" si="0"/>
        <v>1</v>
      </c>
      <c r="I34" s="3">
        <v>1</v>
      </c>
      <c r="J34" s="3"/>
      <c r="K34" s="16">
        <v>1</v>
      </c>
      <c r="L34" s="35">
        <v>1</v>
      </c>
      <c r="M34" s="44">
        <v>3.5</v>
      </c>
      <c r="N34" s="17">
        <v>1</v>
      </c>
      <c r="O34" s="3"/>
      <c r="P34" s="3"/>
      <c r="Q34" s="3"/>
      <c r="R34" s="38">
        <v>3.2</v>
      </c>
      <c r="S34" s="17"/>
      <c r="T34" s="29"/>
      <c r="U34" s="17"/>
      <c r="V34" s="3">
        <v>4.2</v>
      </c>
    </row>
    <row r="35" spans="1:22">
      <c r="A35" s="2">
        <v>30</v>
      </c>
      <c r="B35" s="3" t="s">
        <v>169</v>
      </c>
      <c r="C35" s="3" t="s">
        <v>265</v>
      </c>
      <c r="D35" s="4" t="s">
        <v>219</v>
      </c>
      <c r="E35" s="38">
        <f>(5+5+5)/3</f>
        <v>5</v>
      </c>
      <c r="F35" s="3">
        <v>2</v>
      </c>
      <c r="G35" s="3">
        <v>1</v>
      </c>
      <c r="H35" s="35">
        <f t="shared" si="0"/>
        <v>1.5</v>
      </c>
      <c r="I35" s="3">
        <v>1</v>
      </c>
      <c r="J35" s="3"/>
      <c r="K35" s="16">
        <v>3.4</v>
      </c>
      <c r="L35" s="16">
        <v>2.5</v>
      </c>
      <c r="M35" s="42">
        <v>4.8</v>
      </c>
      <c r="N35" s="17">
        <v>4.5</v>
      </c>
      <c r="O35" s="3"/>
      <c r="P35" s="3" t="s">
        <v>41</v>
      </c>
      <c r="Q35" s="3">
        <v>2</v>
      </c>
      <c r="R35" s="38">
        <v>3.5</v>
      </c>
      <c r="S35" s="17"/>
      <c r="T35" s="29"/>
      <c r="U35" s="17"/>
      <c r="V35" s="3">
        <v>4</v>
      </c>
    </row>
    <row r="36" spans="1:22">
      <c r="A36" s="2">
        <v>31</v>
      </c>
      <c r="B36" s="3" t="s">
        <v>201</v>
      </c>
      <c r="C36" s="3" t="s">
        <v>266</v>
      </c>
      <c r="D36" s="4" t="s">
        <v>216</v>
      </c>
      <c r="E36" s="38">
        <f>(5+4+4.5)/3</f>
        <v>4.5</v>
      </c>
      <c r="F36" s="17">
        <v>5</v>
      </c>
      <c r="G36" s="3">
        <v>5</v>
      </c>
      <c r="H36" s="35">
        <f t="shared" si="0"/>
        <v>5</v>
      </c>
      <c r="I36" s="3">
        <f>(4.5+4+5+5+5)/5</f>
        <v>4.7</v>
      </c>
      <c r="J36" s="3"/>
      <c r="K36" s="16">
        <v>4.5</v>
      </c>
      <c r="L36" s="35">
        <v>5</v>
      </c>
      <c r="M36" s="42">
        <v>4.3</v>
      </c>
      <c r="N36" s="16">
        <v>4.9000000000000004</v>
      </c>
      <c r="O36" s="3"/>
      <c r="P36" s="3" t="s">
        <v>41</v>
      </c>
      <c r="Q36" s="3">
        <v>2</v>
      </c>
      <c r="R36" s="38">
        <v>3.5</v>
      </c>
      <c r="S36" s="17"/>
      <c r="T36" s="29"/>
      <c r="U36" s="17"/>
      <c r="V36" s="3">
        <v>4.5999999999999996</v>
      </c>
    </row>
    <row r="37" spans="1:22">
      <c r="A37" s="2">
        <v>32</v>
      </c>
      <c r="B37" s="3" t="s">
        <v>169</v>
      </c>
      <c r="C37" s="3" t="s">
        <v>267</v>
      </c>
      <c r="D37" s="4" t="s">
        <v>219</v>
      </c>
      <c r="E37" s="38">
        <f>(4+4.5+5)/3</f>
        <v>4.5</v>
      </c>
      <c r="F37" s="3">
        <v>1</v>
      </c>
      <c r="G37" s="3">
        <v>5</v>
      </c>
      <c r="H37" s="35">
        <f t="shared" si="0"/>
        <v>3</v>
      </c>
      <c r="I37" s="3">
        <f>(3.5+3.5+4+5+4)/5</f>
        <v>4</v>
      </c>
      <c r="J37" s="3"/>
      <c r="K37" s="16">
        <v>4</v>
      </c>
      <c r="L37" s="35">
        <v>4</v>
      </c>
      <c r="M37" s="42">
        <v>3</v>
      </c>
      <c r="N37" s="17">
        <v>1</v>
      </c>
      <c r="O37" s="3"/>
      <c r="P37" s="3" t="s">
        <v>41</v>
      </c>
      <c r="Q37" s="3">
        <v>2</v>
      </c>
      <c r="R37" s="38">
        <v>3.5</v>
      </c>
      <c r="S37" s="17"/>
      <c r="T37" s="29"/>
      <c r="U37" s="17"/>
      <c r="V37" s="3">
        <v>4</v>
      </c>
    </row>
    <row r="38" spans="1:22">
      <c r="A38" s="2">
        <v>33</v>
      </c>
      <c r="B38" s="3" t="s">
        <v>268</v>
      </c>
      <c r="C38" s="3" t="s">
        <v>269</v>
      </c>
      <c r="D38" s="4" t="s">
        <v>219</v>
      </c>
      <c r="E38" s="38">
        <f>(5+5+5)/3</f>
        <v>5</v>
      </c>
      <c r="F38" s="3">
        <v>5</v>
      </c>
      <c r="G38" s="3">
        <v>5</v>
      </c>
      <c r="H38" s="35">
        <f t="shared" si="0"/>
        <v>5</v>
      </c>
      <c r="I38" s="3">
        <f>(5+5+5+5+5)/5</f>
        <v>5</v>
      </c>
      <c r="J38" s="3"/>
      <c r="K38" s="36">
        <v>3.2</v>
      </c>
      <c r="L38" s="36">
        <v>3.2</v>
      </c>
      <c r="M38" s="42">
        <v>4.3</v>
      </c>
      <c r="N38" s="16">
        <v>4.9000000000000004</v>
      </c>
      <c r="O38" s="22"/>
      <c r="P38" s="3" t="s">
        <v>41</v>
      </c>
      <c r="Q38" s="3">
        <v>2</v>
      </c>
      <c r="R38" s="38">
        <v>3.5</v>
      </c>
      <c r="S38" s="17"/>
      <c r="T38" s="29"/>
      <c r="U38" s="17"/>
      <c r="V38" s="3">
        <v>4.8</v>
      </c>
    </row>
    <row r="40" spans="1:22">
      <c r="N40" s="1" t="s">
        <v>270</v>
      </c>
    </row>
    <row r="41" spans="1:22">
      <c r="A41" s="48"/>
      <c r="B41" s="50" t="s">
        <v>188</v>
      </c>
      <c r="C41" s="48"/>
      <c r="D41" s="49"/>
      <c r="E41" s="48"/>
    </row>
    <row r="42" spans="1:22">
      <c r="A42" s="48"/>
      <c r="B42" s="48"/>
      <c r="C42" s="48"/>
      <c r="D42" s="49"/>
      <c r="E42" s="48"/>
      <c r="H42" s="1">
        <v>5</v>
      </c>
    </row>
    <row r="43" spans="1:22">
      <c r="A43" s="48">
        <v>1</v>
      </c>
      <c r="B43" s="48" t="s">
        <v>271</v>
      </c>
      <c r="C43" s="48" t="s">
        <v>272</v>
      </c>
      <c r="D43" s="81">
        <v>44498</v>
      </c>
      <c r="E43" s="81"/>
      <c r="H43" s="1">
        <v>4.7</v>
      </c>
    </row>
    <row r="44" spans="1:22">
      <c r="A44" s="48"/>
      <c r="B44" s="48" t="s">
        <v>273</v>
      </c>
      <c r="C44" s="48"/>
      <c r="D44" s="49"/>
      <c r="E44" s="48"/>
      <c r="H44" s="1">
        <v>4.4000000000000004</v>
      </c>
    </row>
    <row r="45" spans="1:22">
      <c r="A45" s="48"/>
      <c r="B45" s="48" t="s">
        <v>274</v>
      </c>
      <c r="C45" s="48"/>
      <c r="D45" s="49"/>
      <c r="E45" s="48"/>
      <c r="H45" s="1">
        <v>4.0999999999999996</v>
      </c>
    </row>
    <row r="46" spans="1:22">
      <c r="A46" s="48"/>
      <c r="B46" s="48" t="s">
        <v>275</v>
      </c>
      <c r="C46" s="48"/>
      <c r="D46" s="49"/>
      <c r="E46" s="48"/>
      <c r="H46" s="1">
        <v>3.8</v>
      </c>
    </row>
    <row r="47" spans="1:22">
      <c r="A47" s="48"/>
      <c r="B47" s="48"/>
      <c r="C47" s="48"/>
      <c r="D47" s="49"/>
      <c r="E47" s="48"/>
      <c r="H47" s="1">
        <v>3.5</v>
      </c>
    </row>
    <row r="48" spans="1:22">
      <c r="A48" s="48">
        <v>2</v>
      </c>
      <c r="B48" s="48" t="s">
        <v>217</v>
      </c>
      <c r="C48" s="48" t="s">
        <v>197</v>
      </c>
      <c r="D48" s="81">
        <v>44496</v>
      </c>
      <c r="E48" s="81"/>
      <c r="H48" s="1">
        <v>3.2</v>
      </c>
    </row>
    <row r="49" spans="1:5">
      <c r="A49" s="48"/>
      <c r="B49" s="48" t="s">
        <v>276</v>
      </c>
      <c r="C49" s="48"/>
      <c r="D49" s="49"/>
      <c r="E49" s="48"/>
    </row>
    <row r="50" spans="1:5">
      <c r="A50" s="48"/>
      <c r="B50" s="48" t="s">
        <v>277</v>
      </c>
      <c r="C50" s="48"/>
      <c r="D50" s="49"/>
      <c r="E50" s="48"/>
    </row>
    <row r="51" spans="1:5">
      <c r="A51" s="48"/>
      <c r="B51" s="48"/>
      <c r="C51" s="48"/>
      <c r="D51" s="49"/>
      <c r="E51" s="48"/>
    </row>
    <row r="52" spans="1:5">
      <c r="A52" s="48">
        <v>3</v>
      </c>
      <c r="B52" s="48" t="s">
        <v>278</v>
      </c>
      <c r="C52" s="48" t="s">
        <v>111</v>
      </c>
      <c r="D52" s="81">
        <v>44495</v>
      </c>
      <c r="E52" s="81"/>
    </row>
    <row r="53" spans="1:5">
      <c r="A53" s="48"/>
      <c r="B53" s="48" t="s">
        <v>279</v>
      </c>
      <c r="C53" s="48"/>
      <c r="D53" s="49"/>
      <c r="E53" s="48"/>
    </row>
    <row r="54" spans="1:5">
      <c r="A54" s="48"/>
      <c r="B54" s="48" t="s">
        <v>280</v>
      </c>
      <c r="C54" s="48"/>
      <c r="D54" s="49"/>
      <c r="E54" s="48"/>
    </row>
    <row r="55" spans="1:5">
      <c r="A55" s="48"/>
      <c r="B55" s="48"/>
      <c r="C55" s="48"/>
      <c r="D55" s="49"/>
      <c r="E55" s="48"/>
    </row>
    <row r="56" spans="1:5">
      <c r="A56" s="48">
        <v>4</v>
      </c>
      <c r="B56" s="48" t="s">
        <v>281</v>
      </c>
      <c r="C56" s="48" t="s">
        <v>206</v>
      </c>
      <c r="D56" s="81">
        <v>44497</v>
      </c>
      <c r="E56" s="81"/>
    </row>
    <row r="57" spans="1:5">
      <c r="A57" s="48"/>
      <c r="B57" s="48" t="s">
        <v>282</v>
      </c>
      <c r="C57" s="48"/>
      <c r="D57" s="49"/>
      <c r="E57" s="48"/>
    </row>
    <row r="58" spans="1:5">
      <c r="A58" s="48"/>
      <c r="B58" s="48" t="s">
        <v>283</v>
      </c>
      <c r="C58" s="48"/>
      <c r="D58" s="49"/>
      <c r="E58" s="48"/>
    </row>
    <row r="59" spans="1:5">
      <c r="A59" s="48"/>
      <c r="B59" s="48"/>
      <c r="C59" s="48"/>
      <c r="D59" s="49"/>
      <c r="E59" s="48"/>
    </row>
    <row r="60" spans="1:5">
      <c r="A60" s="48">
        <v>5</v>
      </c>
      <c r="B60" s="48" t="s">
        <v>284</v>
      </c>
      <c r="C60" s="48" t="s">
        <v>108</v>
      </c>
      <c r="D60" s="81">
        <v>44495</v>
      </c>
      <c r="E60" s="81"/>
    </row>
    <row r="61" spans="1:5">
      <c r="A61" s="48"/>
      <c r="B61" s="48" t="s">
        <v>285</v>
      </c>
      <c r="C61" s="48"/>
      <c r="D61" s="49"/>
      <c r="E61" s="48"/>
    </row>
    <row r="62" spans="1:5">
      <c r="A62" s="48"/>
      <c r="B62" s="48" t="s">
        <v>286</v>
      </c>
      <c r="C62" s="48"/>
      <c r="D62" s="49"/>
      <c r="E62" s="48"/>
    </row>
    <row r="63" spans="1:5">
      <c r="A63" s="48"/>
      <c r="B63" s="48"/>
      <c r="C63" s="48"/>
      <c r="D63" s="49"/>
      <c r="E63" s="48"/>
    </row>
    <row r="64" spans="1:5">
      <c r="A64" s="48">
        <v>6</v>
      </c>
      <c r="B64" s="48" t="s">
        <v>287</v>
      </c>
      <c r="C64" s="48" t="s">
        <v>114</v>
      </c>
      <c r="D64" s="81">
        <v>44496</v>
      </c>
      <c r="E64" s="81"/>
    </row>
    <row r="65" spans="1:5">
      <c r="A65" s="48"/>
      <c r="B65" s="48" t="s">
        <v>288</v>
      </c>
      <c r="C65" s="48"/>
      <c r="D65" s="49"/>
      <c r="E65" s="48"/>
    </row>
    <row r="66" spans="1:5">
      <c r="A66" s="48"/>
      <c r="B66" s="48" t="s">
        <v>289</v>
      </c>
      <c r="C66" s="48"/>
      <c r="D66" s="49"/>
      <c r="E66" s="48"/>
    </row>
    <row r="67" spans="1:5">
      <c r="A67" s="48"/>
      <c r="B67" s="48"/>
      <c r="C67" s="48"/>
      <c r="D67" s="49"/>
      <c r="E67" s="48"/>
    </row>
    <row r="68" spans="1:5">
      <c r="A68" s="48">
        <v>7</v>
      </c>
      <c r="B68" s="48" t="s">
        <v>290</v>
      </c>
      <c r="C68" s="48" t="s">
        <v>118</v>
      </c>
      <c r="D68" s="81">
        <v>44496</v>
      </c>
      <c r="E68" s="81"/>
    </row>
    <row r="69" spans="1:5">
      <c r="A69" s="48"/>
      <c r="B69" s="48" t="s">
        <v>150</v>
      </c>
      <c r="C69" s="48"/>
      <c r="D69" s="49"/>
      <c r="E69" s="48"/>
    </row>
    <row r="70" spans="1:5">
      <c r="A70" s="48"/>
      <c r="B70" s="48" t="s">
        <v>291</v>
      </c>
      <c r="C70" s="48"/>
      <c r="D70" s="49"/>
      <c r="E70" s="48"/>
    </row>
    <row r="71" spans="1:5">
      <c r="A71" s="48"/>
      <c r="B71" s="48"/>
      <c r="C71" s="48"/>
      <c r="D71" s="49"/>
      <c r="E71" s="48"/>
    </row>
    <row r="72" spans="1:5">
      <c r="A72" s="48">
        <v>8</v>
      </c>
      <c r="B72" s="48" t="s">
        <v>292</v>
      </c>
      <c r="C72" s="48" t="s">
        <v>293</v>
      </c>
      <c r="D72" s="81">
        <v>44497</v>
      </c>
      <c r="E72" s="81"/>
    </row>
    <row r="73" spans="1:5">
      <c r="A73" s="48"/>
      <c r="B73" s="48" t="s">
        <v>294</v>
      </c>
      <c r="C73" s="48"/>
      <c r="D73" s="49"/>
      <c r="E73" s="48"/>
    </row>
    <row r="74" spans="1:5">
      <c r="A74" s="48"/>
      <c r="B74" s="48" t="s">
        <v>295</v>
      </c>
      <c r="C74" s="48"/>
      <c r="D74" s="49"/>
      <c r="E74" s="48"/>
    </row>
    <row r="75" spans="1:5">
      <c r="A75" s="48"/>
      <c r="B75" s="48"/>
      <c r="C75" s="48"/>
      <c r="D75" s="49"/>
      <c r="E75" s="48"/>
    </row>
    <row r="76" spans="1:5">
      <c r="A76" s="48">
        <v>9</v>
      </c>
      <c r="B76" s="48" t="s">
        <v>296</v>
      </c>
      <c r="C76" s="48" t="s">
        <v>98</v>
      </c>
      <c r="D76" s="81">
        <v>44496</v>
      </c>
      <c r="E76" s="81"/>
    </row>
    <row r="77" spans="1:5">
      <c r="A77" s="48"/>
      <c r="B77" s="48" t="s">
        <v>297</v>
      </c>
      <c r="C77" s="48"/>
      <c r="D77" s="49"/>
      <c r="E77" s="48"/>
    </row>
    <row r="78" spans="1:5">
      <c r="A78" s="48"/>
      <c r="B78" s="48"/>
      <c r="C78" s="48"/>
      <c r="D78" s="49"/>
      <c r="E78" s="48"/>
    </row>
    <row r="79" spans="1:5">
      <c r="A79" s="48"/>
      <c r="B79" s="48"/>
      <c r="C79" s="48"/>
      <c r="D79" s="49"/>
      <c r="E79" s="48"/>
    </row>
    <row r="80" spans="1:5">
      <c r="A80" s="48">
        <v>10</v>
      </c>
      <c r="B80" s="48" t="s">
        <v>298</v>
      </c>
      <c r="C80" s="48" t="s">
        <v>104</v>
      </c>
      <c r="D80" s="81">
        <v>44496</v>
      </c>
      <c r="E80" s="81"/>
    </row>
    <row r="81" spans="1:5">
      <c r="A81" s="48"/>
      <c r="B81" s="48" t="s">
        <v>299</v>
      </c>
      <c r="C81" s="48"/>
      <c r="D81" s="49"/>
      <c r="E81" s="48"/>
    </row>
    <row r="82" spans="1:5">
      <c r="A82" s="48"/>
      <c r="B82" s="48" t="s">
        <v>300</v>
      </c>
      <c r="C82" s="48"/>
      <c r="D82" s="49"/>
      <c r="E82" s="48"/>
    </row>
    <row r="83" spans="1:5">
      <c r="A83" s="48"/>
      <c r="B83" s="48"/>
      <c r="C83" s="48"/>
      <c r="D83" s="49"/>
      <c r="E83" s="48"/>
    </row>
    <row r="84" spans="1:5">
      <c r="A84" s="48">
        <v>11</v>
      </c>
      <c r="B84" s="48" t="s">
        <v>301</v>
      </c>
      <c r="C84" s="48" t="s">
        <v>302</v>
      </c>
      <c r="D84" s="81">
        <v>44498</v>
      </c>
      <c r="E84" s="81"/>
    </row>
    <row r="85" spans="1:5">
      <c r="A85" s="48"/>
      <c r="B85" s="48" t="s">
        <v>303</v>
      </c>
      <c r="C85" s="48"/>
      <c r="D85" s="49"/>
      <c r="E85" s="48"/>
    </row>
    <row r="86" spans="1:5">
      <c r="A86" s="48"/>
      <c r="B86" s="48" t="s">
        <v>304</v>
      </c>
      <c r="C86" s="48"/>
      <c r="D86" s="49"/>
      <c r="E86" s="48"/>
    </row>
  </sheetData>
  <mergeCells count="20">
    <mergeCell ref="D84:E84"/>
    <mergeCell ref="D64:E64"/>
    <mergeCell ref="D68:E68"/>
    <mergeCell ref="D72:E72"/>
    <mergeCell ref="D76:E76"/>
    <mergeCell ref="D80:E80"/>
    <mergeCell ref="D43:E43"/>
    <mergeCell ref="D48:E48"/>
    <mergeCell ref="D52:E52"/>
    <mergeCell ref="D56:E56"/>
    <mergeCell ref="D60:E60"/>
    <mergeCell ref="B2:V2"/>
    <mergeCell ref="B4:B5"/>
    <mergeCell ref="C4:C5"/>
    <mergeCell ref="D4:D5"/>
    <mergeCell ref="E4:J4"/>
    <mergeCell ref="K4:N4"/>
    <mergeCell ref="O4:V4"/>
    <mergeCell ref="J3:K3"/>
    <mergeCell ref="L3:M3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C64"/>
  <sheetViews>
    <sheetView zoomScale="130" zoomScaleNormal="130" workbookViewId="0">
      <pane xSplit="4" ySplit="5" topLeftCell="E22" activePane="bottomRight" state="frozen"/>
      <selection pane="bottomRight" activeCell="O28" sqref="O28"/>
      <selection pane="bottomLeft" activeCell="A6" sqref="A6"/>
      <selection pane="topRight" activeCell="F1" sqref="F1"/>
    </sheetView>
  </sheetViews>
  <sheetFormatPr defaultColWidth="11.42578125" defaultRowHeight="16.5"/>
  <cols>
    <col min="1" max="1" width="3.5703125" style="1" customWidth="1"/>
    <col min="2" max="2" width="18.42578125" style="1" customWidth="1"/>
    <col min="3" max="3" width="22.85546875" style="1" customWidth="1"/>
    <col min="4" max="4" width="5" style="2" customWidth="1"/>
    <col min="5" max="6" width="6.5703125" style="1" hidden="1" customWidth="1"/>
    <col min="7" max="7" width="6.5703125" style="1" customWidth="1"/>
    <col min="8" max="10" width="6.5703125" style="1" hidden="1" customWidth="1"/>
    <col min="11" max="13" width="6.5703125" style="1" customWidth="1"/>
    <col min="14" max="14" width="6" style="1" customWidth="1"/>
    <col min="15" max="15" width="5.85546875" style="1" customWidth="1"/>
    <col min="16" max="16" width="7.42578125" style="1" customWidth="1"/>
    <col min="17" max="17" width="7.5703125" style="1" customWidth="1"/>
    <col min="18" max="18" width="6.140625" style="1" hidden="1" customWidth="1"/>
    <col min="19" max="19" width="7.140625" style="1" hidden="1" customWidth="1"/>
    <col min="20" max="20" width="7.85546875" style="1" hidden="1" customWidth="1"/>
    <col min="21" max="21" width="7.85546875" style="1" customWidth="1"/>
    <col min="22" max="22" width="9.140625" style="1" hidden="1" customWidth="1"/>
    <col min="23" max="24" width="7.28515625" style="1" hidden="1" customWidth="1"/>
    <col min="25" max="25" width="7.28515625" style="1" customWidth="1"/>
    <col min="26" max="26" width="8.7109375" style="1" customWidth="1"/>
    <col min="27" max="27" width="1.85546875" style="1" customWidth="1"/>
    <col min="28" max="28" width="3.28515625" style="1" customWidth="1"/>
    <col min="29" max="16384" width="11.42578125" style="1"/>
  </cols>
  <sheetData>
    <row r="2" spans="1:29">
      <c r="B2" s="68" t="s">
        <v>0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spans="1:29" ht="15" customHeight="1">
      <c r="B3" s="7" t="s">
        <v>1</v>
      </c>
      <c r="C3" s="6" t="s">
        <v>2</v>
      </c>
      <c r="D3" s="6"/>
      <c r="E3" s="11"/>
      <c r="F3" s="11"/>
      <c r="G3" s="11"/>
      <c r="H3" s="11"/>
      <c r="I3" s="11"/>
      <c r="J3" s="11"/>
      <c r="K3" s="11"/>
      <c r="L3" s="11"/>
      <c r="M3" s="80" t="s">
        <v>3</v>
      </c>
      <c r="N3" s="80"/>
      <c r="O3" s="80" t="s">
        <v>4</v>
      </c>
      <c r="P3" s="80"/>
      <c r="Q3" s="11" t="s">
        <v>5</v>
      </c>
      <c r="R3" s="14" t="s">
        <v>305</v>
      </c>
      <c r="S3" s="11"/>
      <c r="T3" s="11"/>
      <c r="U3" s="11"/>
      <c r="V3" s="8" t="s">
        <v>7</v>
      </c>
      <c r="W3" s="8"/>
      <c r="X3" s="8"/>
      <c r="Y3" s="8"/>
      <c r="Z3" s="8" t="s">
        <v>8</v>
      </c>
    </row>
    <row r="4" spans="1:29" s="2" customFormat="1" ht="15" customHeight="1">
      <c r="B4" s="70" t="s">
        <v>9</v>
      </c>
      <c r="C4" s="70" t="s">
        <v>10</v>
      </c>
      <c r="D4" s="72" t="s">
        <v>11</v>
      </c>
      <c r="E4" s="74" t="s">
        <v>12</v>
      </c>
      <c r="F4" s="75"/>
      <c r="G4" s="75"/>
      <c r="H4" s="75"/>
      <c r="I4" s="75"/>
      <c r="J4" s="75"/>
      <c r="K4" s="75"/>
      <c r="L4" s="75"/>
      <c r="M4" s="76"/>
      <c r="N4" s="77" t="s">
        <v>13</v>
      </c>
      <c r="O4" s="78"/>
      <c r="P4" s="78"/>
      <c r="Q4" s="79"/>
      <c r="R4" s="77" t="s">
        <v>14</v>
      </c>
      <c r="S4" s="78"/>
      <c r="T4" s="78"/>
      <c r="U4" s="78"/>
      <c r="V4" s="78"/>
      <c r="W4" s="78"/>
      <c r="X4" s="78"/>
      <c r="Y4" s="78"/>
      <c r="Z4" s="79"/>
    </row>
    <row r="5" spans="1:29" ht="33.75" customHeight="1">
      <c r="A5" s="2"/>
      <c r="B5" s="71"/>
      <c r="C5" s="71"/>
      <c r="D5" s="73"/>
      <c r="E5" s="12" t="s">
        <v>306</v>
      </c>
      <c r="F5" s="24" t="s">
        <v>307</v>
      </c>
      <c r="G5" s="24" t="s">
        <v>17</v>
      </c>
      <c r="H5" s="12" t="s">
        <v>308</v>
      </c>
      <c r="I5" s="24" t="s">
        <v>209</v>
      </c>
      <c r="J5" s="12" t="s">
        <v>309</v>
      </c>
      <c r="K5" s="12" t="s">
        <v>20</v>
      </c>
      <c r="L5" s="13" t="s">
        <v>21</v>
      </c>
      <c r="M5" s="13" t="s">
        <v>22</v>
      </c>
      <c r="N5" s="12" t="s">
        <v>310</v>
      </c>
      <c r="O5" s="12" t="s">
        <v>311</v>
      </c>
      <c r="P5" s="12" t="s">
        <v>26</v>
      </c>
      <c r="Q5" s="12" t="s">
        <v>27</v>
      </c>
      <c r="R5" s="12" t="s">
        <v>28</v>
      </c>
      <c r="S5" s="12" t="s">
        <v>29</v>
      </c>
      <c r="T5" s="12" t="s">
        <v>30</v>
      </c>
      <c r="U5" s="12" t="s">
        <v>127</v>
      </c>
      <c r="V5" s="12" t="s">
        <v>312</v>
      </c>
      <c r="W5" s="12" t="s">
        <v>313</v>
      </c>
      <c r="X5" s="12" t="s">
        <v>130</v>
      </c>
      <c r="Y5" s="12" t="s">
        <v>313</v>
      </c>
      <c r="Z5" s="12" t="s">
        <v>32</v>
      </c>
    </row>
    <row r="6" spans="1:29">
      <c r="A6" s="2">
        <v>1</v>
      </c>
      <c r="B6" s="3" t="s">
        <v>314</v>
      </c>
      <c r="C6" s="1" t="s">
        <v>315</v>
      </c>
      <c r="D6" s="4" t="s">
        <v>316</v>
      </c>
      <c r="E6" s="3">
        <v>5</v>
      </c>
      <c r="F6" s="3">
        <v>5</v>
      </c>
      <c r="G6" s="37">
        <f>(E6+F6)/2</f>
        <v>5</v>
      </c>
      <c r="H6" s="59">
        <f>(5+4+5+5)/4</f>
        <v>4.75</v>
      </c>
      <c r="I6" s="3">
        <v>5</v>
      </c>
      <c r="J6" s="3">
        <v>4.2</v>
      </c>
      <c r="K6" s="17">
        <f>(H6+I6)/2</f>
        <v>4.875</v>
      </c>
      <c r="L6" s="17">
        <f>(3.8+4.5+5+5+5)/5</f>
        <v>4.66</v>
      </c>
      <c r="M6" s="3"/>
      <c r="N6" s="3">
        <v>4.4000000000000004</v>
      </c>
      <c r="O6" s="3">
        <v>1</v>
      </c>
      <c r="P6" s="37">
        <v>3.2</v>
      </c>
      <c r="Q6" s="17">
        <v>4.4000000000000004</v>
      </c>
      <c r="R6" s="22" t="s">
        <v>85</v>
      </c>
      <c r="S6" s="3" t="s">
        <v>68</v>
      </c>
      <c r="T6" s="3">
        <v>5</v>
      </c>
      <c r="U6" s="37">
        <v>4.2</v>
      </c>
      <c r="V6" s="3" t="s">
        <v>38</v>
      </c>
      <c r="W6" s="17" t="s">
        <v>38</v>
      </c>
      <c r="X6" s="29">
        <v>10</v>
      </c>
      <c r="Y6" s="17">
        <v>5</v>
      </c>
      <c r="Z6" s="3">
        <v>4</v>
      </c>
    </row>
    <row r="7" spans="1:29">
      <c r="A7" s="2">
        <v>2</v>
      </c>
      <c r="B7" s="3" t="s">
        <v>82</v>
      </c>
      <c r="C7" s="3" t="s">
        <v>317</v>
      </c>
      <c r="D7" s="4" t="s">
        <v>316</v>
      </c>
      <c r="E7" s="3">
        <v>5</v>
      </c>
      <c r="F7" s="3">
        <v>5</v>
      </c>
      <c r="G7" s="37">
        <f t="shared" ref="G7:G28" si="0">(E7+F7)/2</f>
        <v>5</v>
      </c>
      <c r="H7" s="59">
        <f>(5+4.5+5+5)/4</f>
        <v>4.875</v>
      </c>
      <c r="I7" s="3">
        <v>5</v>
      </c>
      <c r="J7" s="3">
        <v>1</v>
      </c>
      <c r="K7" s="17">
        <f t="shared" ref="K7:K28" si="1">(H7+I7)/2</f>
        <v>4.9375</v>
      </c>
      <c r="L7" s="17">
        <f>(4+4+5+5+4.5)/5</f>
        <v>4.5</v>
      </c>
      <c r="M7" s="3"/>
      <c r="N7" s="3">
        <v>3.2</v>
      </c>
      <c r="O7" s="17">
        <v>2.5</v>
      </c>
      <c r="P7" s="37">
        <v>4.3</v>
      </c>
      <c r="Q7" s="3">
        <v>4.7</v>
      </c>
      <c r="R7" s="22"/>
      <c r="S7" s="3"/>
      <c r="T7" s="3"/>
      <c r="U7" s="37">
        <v>3.2</v>
      </c>
      <c r="V7" s="3" t="s">
        <v>38</v>
      </c>
      <c r="W7" s="17"/>
      <c r="X7" s="29">
        <v>5</v>
      </c>
      <c r="Y7" s="17">
        <v>4</v>
      </c>
      <c r="Z7" s="3">
        <v>4</v>
      </c>
      <c r="AB7" s="23"/>
      <c r="AC7" s="19" t="s">
        <v>44</v>
      </c>
    </row>
    <row r="8" spans="1:29">
      <c r="A8" s="2">
        <v>3</v>
      </c>
      <c r="B8" s="3" t="s">
        <v>318</v>
      </c>
      <c r="C8" s="3" t="s">
        <v>319</v>
      </c>
      <c r="D8" s="4" t="s">
        <v>316</v>
      </c>
      <c r="E8" s="3">
        <v>1</v>
      </c>
      <c r="F8" s="3">
        <v>1</v>
      </c>
      <c r="G8" s="37">
        <f t="shared" si="0"/>
        <v>1</v>
      </c>
      <c r="H8" s="22">
        <v>1</v>
      </c>
      <c r="I8" s="3">
        <v>5</v>
      </c>
      <c r="J8" s="3">
        <v>1</v>
      </c>
      <c r="K8" s="17">
        <f t="shared" si="1"/>
        <v>3</v>
      </c>
      <c r="L8" s="17">
        <f>(3.5+4+5+5+4.5)/5</f>
        <v>4.4000000000000004</v>
      </c>
      <c r="M8" s="3"/>
      <c r="N8" s="45">
        <v>3.5</v>
      </c>
      <c r="O8" s="45">
        <v>3.2</v>
      </c>
      <c r="P8" s="37">
        <v>2</v>
      </c>
      <c r="Q8" s="17">
        <v>1</v>
      </c>
      <c r="R8" s="22"/>
      <c r="S8" s="3"/>
      <c r="T8" s="3"/>
      <c r="U8" s="37">
        <v>3.2</v>
      </c>
      <c r="V8" s="3" t="s">
        <v>38</v>
      </c>
      <c r="W8" s="17" t="s">
        <v>38</v>
      </c>
      <c r="X8" s="29">
        <v>10</v>
      </c>
      <c r="Y8" s="17">
        <v>5</v>
      </c>
      <c r="Z8" s="3">
        <v>4</v>
      </c>
      <c r="AB8" s="26"/>
      <c r="AC8" s="19" t="s">
        <v>50</v>
      </c>
    </row>
    <row r="9" spans="1:29">
      <c r="A9" s="2">
        <v>4</v>
      </c>
      <c r="B9" s="3" t="s">
        <v>320</v>
      </c>
      <c r="C9" s="3" t="s">
        <v>321</v>
      </c>
      <c r="D9" s="4" t="s">
        <v>322</v>
      </c>
      <c r="E9" s="3">
        <v>5</v>
      </c>
      <c r="F9" s="3">
        <v>5</v>
      </c>
      <c r="G9" s="37">
        <f t="shared" si="0"/>
        <v>5</v>
      </c>
      <c r="H9" s="22">
        <v>5</v>
      </c>
      <c r="I9" s="3">
        <v>5</v>
      </c>
      <c r="J9" s="3">
        <v>1</v>
      </c>
      <c r="K9" s="17">
        <f t="shared" si="1"/>
        <v>5</v>
      </c>
      <c r="L9" s="3">
        <f>(4+4.5+5+5+5)/5</f>
        <v>4.7</v>
      </c>
      <c r="M9" s="3"/>
      <c r="N9" s="3">
        <v>4</v>
      </c>
      <c r="O9" s="17">
        <v>4</v>
      </c>
      <c r="P9" s="37">
        <v>4.7</v>
      </c>
      <c r="Q9" s="3">
        <v>4.2</v>
      </c>
      <c r="R9" s="22" t="s">
        <v>323</v>
      </c>
      <c r="S9" s="3"/>
      <c r="T9" s="3">
        <v>12</v>
      </c>
      <c r="U9" s="37">
        <v>5</v>
      </c>
      <c r="V9" s="3" t="s">
        <v>38</v>
      </c>
      <c r="W9" s="17"/>
      <c r="X9" s="29">
        <v>5</v>
      </c>
      <c r="Y9" s="17">
        <v>4</v>
      </c>
      <c r="Z9" s="3">
        <v>4</v>
      </c>
      <c r="AB9" s="27"/>
      <c r="AC9" s="19" t="s">
        <v>54</v>
      </c>
    </row>
    <row r="10" spans="1:29">
      <c r="A10" s="2">
        <v>5</v>
      </c>
      <c r="B10" s="3" t="s">
        <v>324</v>
      </c>
      <c r="C10" s="3" t="s">
        <v>321</v>
      </c>
      <c r="D10" s="4" t="s">
        <v>322</v>
      </c>
      <c r="E10" s="3">
        <v>5</v>
      </c>
      <c r="F10" s="3">
        <v>5</v>
      </c>
      <c r="G10" s="37">
        <f t="shared" si="0"/>
        <v>5</v>
      </c>
      <c r="H10" s="22">
        <v>5</v>
      </c>
      <c r="I10" s="3">
        <v>5</v>
      </c>
      <c r="J10" s="3">
        <v>1</v>
      </c>
      <c r="K10" s="17">
        <f t="shared" si="1"/>
        <v>5</v>
      </c>
      <c r="L10" s="3">
        <f>(4+4.5+5+5+5)/5</f>
        <v>4.7</v>
      </c>
      <c r="M10" s="3"/>
      <c r="N10" s="3">
        <v>4.5</v>
      </c>
      <c r="O10" s="3">
        <v>4.5</v>
      </c>
      <c r="P10" s="37">
        <v>4.3</v>
      </c>
      <c r="Q10" s="3">
        <v>2</v>
      </c>
      <c r="R10" s="22"/>
      <c r="S10" s="3"/>
      <c r="T10" s="3"/>
      <c r="U10" s="37">
        <v>3.2</v>
      </c>
      <c r="V10" s="3" t="s">
        <v>38</v>
      </c>
      <c r="W10" s="17"/>
      <c r="X10" s="29">
        <v>5</v>
      </c>
      <c r="Y10" s="17">
        <v>4</v>
      </c>
      <c r="Z10" s="3">
        <v>4</v>
      </c>
      <c r="AB10" s="25"/>
      <c r="AC10" s="19" t="s">
        <v>58</v>
      </c>
    </row>
    <row r="11" spans="1:29">
      <c r="A11" s="2">
        <v>6</v>
      </c>
      <c r="B11" s="3" t="s">
        <v>325</v>
      </c>
      <c r="C11" s="3" t="s">
        <v>326</v>
      </c>
      <c r="D11" s="4" t="s">
        <v>322</v>
      </c>
      <c r="E11" s="3">
        <v>3.2</v>
      </c>
      <c r="F11" s="3">
        <v>4.5</v>
      </c>
      <c r="G11" s="38">
        <f t="shared" si="0"/>
        <v>3.85</v>
      </c>
      <c r="H11" s="59">
        <f>(5+2.5+5+5)/4</f>
        <v>4.375</v>
      </c>
      <c r="I11" s="3">
        <v>5</v>
      </c>
      <c r="J11" s="3">
        <v>4.2</v>
      </c>
      <c r="K11" s="17">
        <f t="shared" si="1"/>
        <v>4.6875</v>
      </c>
      <c r="L11" s="3">
        <f>(3.5+3.5+4.5+5+5)/5</f>
        <v>4.3</v>
      </c>
      <c r="M11" s="3"/>
      <c r="N11" s="3">
        <v>3.8</v>
      </c>
      <c r="O11" s="3">
        <v>5</v>
      </c>
      <c r="P11" s="37">
        <v>2.1</v>
      </c>
      <c r="Q11" s="17">
        <v>1</v>
      </c>
      <c r="R11" s="3" t="s">
        <v>327</v>
      </c>
      <c r="S11" s="3"/>
      <c r="T11" s="3">
        <v>4</v>
      </c>
      <c r="U11" s="37">
        <v>4</v>
      </c>
      <c r="V11" s="3" t="s">
        <v>38</v>
      </c>
      <c r="W11" s="17" t="s">
        <v>38</v>
      </c>
      <c r="X11" s="29">
        <v>10</v>
      </c>
      <c r="Y11" s="17">
        <v>5</v>
      </c>
      <c r="Z11" s="3">
        <v>4.5</v>
      </c>
      <c r="AB11" s="28"/>
      <c r="AC11" s="19" t="s">
        <v>62</v>
      </c>
    </row>
    <row r="12" spans="1:29" s="57" customFormat="1">
      <c r="A12" s="52">
        <v>7</v>
      </c>
      <c r="B12" s="53" t="s">
        <v>328</v>
      </c>
      <c r="C12" s="53" t="s">
        <v>329</v>
      </c>
      <c r="D12" s="54" t="s">
        <v>322</v>
      </c>
      <c r="E12" s="53">
        <v>1</v>
      </c>
      <c r="F12" s="53"/>
      <c r="G12" s="53">
        <f t="shared" si="0"/>
        <v>0.5</v>
      </c>
      <c r="H12" s="53">
        <v>1</v>
      </c>
      <c r="I12" s="53"/>
      <c r="J12" s="53"/>
      <c r="K12" s="55">
        <f t="shared" si="1"/>
        <v>0.5</v>
      </c>
      <c r="L12" s="55"/>
      <c r="M12" s="53"/>
      <c r="N12" s="53"/>
      <c r="O12" s="53"/>
      <c r="P12" s="53">
        <v>1</v>
      </c>
      <c r="Q12" s="55"/>
      <c r="R12" s="53"/>
      <c r="S12" s="53"/>
      <c r="T12" s="53"/>
      <c r="U12" s="53">
        <v>1</v>
      </c>
      <c r="V12" s="53"/>
      <c r="W12" s="55"/>
      <c r="X12" s="56"/>
      <c r="Y12" s="55"/>
      <c r="Z12" s="53"/>
    </row>
    <row r="13" spans="1:29">
      <c r="A13" s="2">
        <v>8</v>
      </c>
      <c r="B13" s="3" t="s">
        <v>330</v>
      </c>
      <c r="C13" s="3" t="s">
        <v>331</v>
      </c>
      <c r="D13" s="4" t="s">
        <v>322</v>
      </c>
      <c r="E13" s="3">
        <v>3.2</v>
      </c>
      <c r="F13" s="3">
        <v>1</v>
      </c>
      <c r="G13" s="37">
        <f t="shared" si="0"/>
        <v>2.1</v>
      </c>
      <c r="H13" s="22">
        <v>1</v>
      </c>
      <c r="I13" s="3">
        <v>1</v>
      </c>
      <c r="J13" s="3">
        <v>1</v>
      </c>
      <c r="K13" s="17">
        <f t="shared" si="1"/>
        <v>1</v>
      </c>
      <c r="L13" s="17">
        <f>(3.5+3.5+4.5+5+1)/5</f>
        <v>3.5</v>
      </c>
      <c r="M13" s="3"/>
      <c r="N13" s="45">
        <v>3.2</v>
      </c>
      <c r="O13" s="45">
        <v>3.5</v>
      </c>
      <c r="P13" s="37">
        <v>3.3</v>
      </c>
      <c r="Q13" s="17">
        <v>4.5999999999999996</v>
      </c>
      <c r="R13" s="3"/>
      <c r="S13" s="3"/>
      <c r="T13" s="3"/>
      <c r="U13" s="37">
        <v>3.2</v>
      </c>
      <c r="V13" s="3"/>
      <c r="W13" s="17"/>
      <c r="X13" s="29"/>
      <c r="Y13" s="17">
        <v>3.2</v>
      </c>
      <c r="Z13" s="3">
        <v>4</v>
      </c>
    </row>
    <row r="14" spans="1:29">
      <c r="A14" s="2">
        <v>9</v>
      </c>
      <c r="B14" s="3" t="s">
        <v>332</v>
      </c>
      <c r="C14" s="3" t="s">
        <v>333</v>
      </c>
      <c r="D14" s="4" t="s">
        <v>316</v>
      </c>
      <c r="E14" s="3">
        <v>3.2</v>
      </c>
      <c r="F14" s="3">
        <v>1</v>
      </c>
      <c r="G14" s="37">
        <f t="shared" si="0"/>
        <v>2.1</v>
      </c>
      <c r="H14" s="22">
        <v>1</v>
      </c>
      <c r="I14" s="3">
        <v>5</v>
      </c>
      <c r="J14" s="3">
        <v>1</v>
      </c>
      <c r="K14" s="17">
        <f t="shared" si="1"/>
        <v>3</v>
      </c>
      <c r="L14" s="17">
        <f>(4+4+5+5+4.5)/5</f>
        <v>4.5</v>
      </c>
      <c r="M14" s="3"/>
      <c r="N14" s="45">
        <v>3.5</v>
      </c>
      <c r="O14" s="45">
        <v>3.2</v>
      </c>
      <c r="P14" s="37">
        <v>2</v>
      </c>
      <c r="Q14" s="17">
        <v>1</v>
      </c>
      <c r="R14" s="3"/>
      <c r="S14" s="3"/>
      <c r="T14" s="3"/>
      <c r="U14" s="37">
        <v>3.2</v>
      </c>
      <c r="V14" s="3" t="s">
        <v>38</v>
      </c>
      <c r="W14" s="17"/>
      <c r="X14" s="29">
        <v>5</v>
      </c>
      <c r="Y14" s="17">
        <v>4</v>
      </c>
      <c r="Z14" s="3">
        <v>4</v>
      </c>
    </row>
    <row r="15" spans="1:29">
      <c r="A15" s="2">
        <v>10</v>
      </c>
      <c r="B15" s="3" t="s">
        <v>334</v>
      </c>
      <c r="C15" s="3" t="s">
        <v>335</v>
      </c>
      <c r="D15" s="4" t="s">
        <v>322</v>
      </c>
      <c r="E15" s="3">
        <v>5</v>
      </c>
      <c r="F15" s="3">
        <v>3.2</v>
      </c>
      <c r="G15" s="37">
        <f t="shared" si="0"/>
        <v>4.0999999999999996</v>
      </c>
      <c r="H15" s="59">
        <f>(4.5+2.2+5+1)/4</f>
        <v>3.1749999999999998</v>
      </c>
      <c r="I15" s="3">
        <v>4.5</v>
      </c>
      <c r="J15" s="45">
        <v>3.5</v>
      </c>
      <c r="K15" s="17">
        <f t="shared" si="1"/>
        <v>3.8374999999999999</v>
      </c>
      <c r="L15" s="3">
        <f>(4.5+3.5+4.5+5+1)/5</f>
        <v>3.7</v>
      </c>
      <c r="M15" s="3"/>
      <c r="N15" s="3">
        <v>3.8</v>
      </c>
      <c r="O15" s="3">
        <v>3.8</v>
      </c>
      <c r="P15" s="37">
        <v>4</v>
      </c>
      <c r="Q15" s="3">
        <v>4.5999999999999996</v>
      </c>
      <c r="R15" s="22" t="s">
        <v>336</v>
      </c>
      <c r="S15" s="3"/>
      <c r="T15" s="3">
        <v>4</v>
      </c>
      <c r="U15" s="37">
        <v>4</v>
      </c>
      <c r="V15" s="3" t="s">
        <v>38</v>
      </c>
      <c r="W15" s="17"/>
      <c r="X15" s="29">
        <v>5</v>
      </c>
      <c r="Y15" s="17">
        <v>4</v>
      </c>
      <c r="Z15" s="3">
        <v>4.3</v>
      </c>
    </row>
    <row r="16" spans="1:29">
      <c r="A16" s="2">
        <v>11</v>
      </c>
      <c r="B16" s="3" t="s">
        <v>337</v>
      </c>
      <c r="C16" s="3" t="s">
        <v>338</v>
      </c>
      <c r="D16" s="4" t="s">
        <v>316</v>
      </c>
      <c r="E16" s="3">
        <v>3.2</v>
      </c>
      <c r="F16" s="3">
        <v>4.5</v>
      </c>
      <c r="G16" s="38">
        <f t="shared" si="0"/>
        <v>3.85</v>
      </c>
      <c r="H16" s="59">
        <f>(5+2.5+4+5)/4</f>
        <v>4.125</v>
      </c>
      <c r="I16" s="3">
        <v>5</v>
      </c>
      <c r="J16" s="3">
        <v>5</v>
      </c>
      <c r="K16" s="17">
        <f t="shared" si="1"/>
        <v>4.5625</v>
      </c>
      <c r="L16" s="3">
        <f>(4+4+4.5+5+1)/5</f>
        <v>3.7</v>
      </c>
      <c r="M16" s="3"/>
      <c r="N16" s="3">
        <v>1</v>
      </c>
      <c r="O16" s="3">
        <v>1</v>
      </c>
      <c r="P16" s="37">
        <v>1.6</v>
      </c>
      <c r="Q16" s="17">
        <v>1</v>
      </c>
      <c r="R16" s="3" t="s">
        <v>339</v>
      </c>
      <c r="S16" s="3" t="s">
        <v>340</v>
      </c>
      <c r="T16" s="3">
        <v>9</v>
      </c>
      <c r="U16" s="37">
        <v>4.8</v>
      </c>
      <c r="V16" s="3" t="s">
        <v>38</v>
      </c>
      <c r="W16" s="17"/>
      <c r="X16" s="29">
        <v>5</v>
      </c>
      <c r="Y16" s="17">
        <v>4</v>
      </c>
      <c r="Z16" s="3">
        <v>4</v>
      </c>
    </row>
    <row r="17" spans="1:29">
      <c r="A17" s="2">
        <v>12</v>
      </c>
      <c r="B17" s="3" t="s">
        <v>341</v>
      </c>
      <c r="C17" s="3" t="s">
        <v>342</v>
      </c>
      <c r="D17" s="4" t="s">
        <v>316</v>
      </c>
      <c r="E17" s="3">
        <v>1</v>
      </c>
      <c r="F17" s="3">
        <v>1</v>
      </c>
      <c r="G17" s="37">
        <f t="shared" si="0"/>
        <v>1</v>
      </c>
      <c r="H17" s="22">
        <v>1</v>
      </c>
      <c r="I17" s="3">
        <v>1</v>
      </c>
      <c r="J17" s="3">
        <v>1</v>
      </c>
      <c r="K17" s="17">
        <f t="shared" si="1"/>
        <v>1</v>
      </c>
      <c r="L17" s="3">
        <v>1</v>
      </c>
      <c r="M17" s="3"/>
      <c r="N17" s="3">
        <v>1</v>
      </c>
      <c r="O17" s="3">
        <v>1</v>
      </c>
      <c r="P17" s="37">
        <v>2.6</v>
      </c>
      <c r="Q17" s="17">
        <v>1</v>
      </c>
      <c r="R17" s="22" t="s">
        <v>339</v>
      </c>
      <c r="S17" s="3"/>
      <c r="T17" s="3">
        <v>2</v>
      </c>
      <c r="U17" s="37">
        <v>3.6</v>
      </c>
      <c r="V17" s="22"/>
      <c r="W17" s="17"/>
      <c r="X17" s="29"/>
      <c r="Y17" s="17">
        <v>3.2</v>
      </c>
      <c r="Z17" s="3">
        <v>4</v>
      </c>
    </row>
    <row r="18" spans="1:29">
      <c r="A18" s="2">
        <v>13</v>
      </c>
      <c r="B18" s="3" t="s">
        <v>88</v>
      </c>
      <c r="C18" s="3" t="s">
        <v>343</v>
      </c>
      <c r="D18" s="4" t="s">
        <v>322</v>
      </c>
      <c r="E18" s="3">
        <v>5</v>
      </c>
      <c r="F18" s="3">
        <v>5</v>
      </c>
      <c r="G18" s="37">
        <f t="shared" si="0"/>
        <v>5</v>
      </c>
      <c r="H18" s="59">
        <f>(5+4.5+5+5)/4</f>
        <v>4.875</v>
      </c>
      <c r="I18" s="3">
        <v>5</v>
      </c>
      <c r="J18" s="3">
        <v>2.5</v>
      </c>
      <c r="K18" s="17">
        <f t="shared" si="1"/>
        <v>4.9375</v>
      </c>
      <c r="L18" s="3">
        <f>(3.5+3.5+3.5+3.5+1)/5</f>
        <v>3</v>
      </c>
      <c r="M18" s="3"/>
      <c r="N18" s="3">
        <v>1</v>
      </c>
      <c r="O18" s="3">
        <v>1</v>
      </c>
      <c r="P18" s="37">
        <v>2</v>
      </c>
      <c r="Q18" s="17">
        <v>1</v>
      </c>
      <c r="R18" s="3" t="s">
        <v>339</v>
      </c>
      <c r="S18" s="3" t="s">
        <v>68</v>
      </c>
      <c r="T18" s="3">
        <v>3</v>
      </c>
      <c r="U18" s="37">
        <v>3.8</v>
      </c>
      <c r="V18" s="3" t="s">
        <v>38</v>
      </c>
      <c r="W18" s="17" t="s">
        <v>38</v>
      </c>
      <c r="X18" s="29">
        <v>10</v>
      </c>
      <c r="Y18" s="17">
        <v>5</v>
      </c>
      <c r="Z18" s="3">
        <v>4.4000000000000004</v>
      </c>
    </row>
    <row r="19" spans="1:29">
      <c r="A19" s="2">
        <v>14</v>
      </c>
      <c r="B19" s="3" t="s">
        <v>344</v>
      </c>
      <c r="C19" s="3" t="s">
        <v>345</v>
      </c>
      <c r="D19" s="4" t="s">
        <v>322</v>
      </c>
      <c r="E19" s="3">
        <v>3.2</v>
      </c>
      <c r="F19" s="3">
        <v>4.5</v>
      </c>
      <c r="G19" s="38">
        <f t="shared" si="0"/>
        <v>3.85</v>
      </c>
      <c r="H19" s="59">
        <f>(1+4.5+5+5)/4</f>
        <v>3.875</v>
      </c>
      <c r="I19" s="3">
        <v>1</v>
      </c>
      <c r="J19" s="3">
        <v>2.5</v>
      </c>
      <c r="K19" s="17">
        <f t="shared" si="1"/>
        <v>2.4375</v>
      </c>
      <c r="L19" s="3">
        <f>(3.5+3.5+3.5+3.5+1)/5</f>
        <v>3</v>
      </c>
      <c r="M19" s="3"/>
      <c r="N19" s="3">
        <v>2.5</v>
      </c>
      <c r="O19" s="17">
        <v>3.2</v>
      </c>
      <c r="P19" s="37">
        <v>3.2</v>
      </c>
      <c r="Q19" s="17">
        <v>1</v>
      </c>
      <c r="R19" s="3" t="s">
        <v>41</v>
      </c>
      <c r="S19" s="3"/>
      <c r="T19" s="3">
        <v>2</v>
      </c>
      <c r="U19" s="37">
        <v>3.6</v>
      </c>
      <c r="V19" s="3"/>
      <c r="W19" s="17" t="s">
        <v>38</v>
      </c>
      <c r="X19" s="29">
        <v>5</v>
      </c>
      <c r="Y19" s="17">
        <v>4</v>
      </c>
      <c r="Z19" s="3">
        <v>4</v>
      </c>
    </row>
    <row r="20" spans="1:29">
      <c r="A20" s="2">
        <v>15</v>
      </c>
      <c r="B20" s="3" t="s">
        <v>346</v>
      </c>
      <c r="C20" s="3" t="s">
        <v>347</v>
      </c>
      <c r="D20" s="4" t="s">
        <v>316</v>
      </c>
      <c r="E20" s="3">
        <v>5</v>
      </c>
      <c r="F20" s="3">
        <v>5</v>
      </c>
      <c r="G20" s="37">
        <f t="shared" si="0"/>
        <v>5</v>
      </c>
      <c r="H20" s="59">
        <f>(5+4.5+5+5)/4</f>
        <v>4.875</v>
      </c>
      <c r="I20" s="3">
        <v>1</v>
      </c>
      <c r="J20" s="3">
        <v>5</v>
      </c>
      <c r="K20" s="17">
        <f t="shared" si="1"/>
        <v>2.9375</v>
      </c>
      <c r="L20" s="3">
        <f>(3.5+3.5+4.5+5+1)/5</f>
        <v>3.5</v>
      </c>
      <c r="M20" s="3"/>
      <c r="N20" s="45">
        <v>3.5</v>
      </c>
      <c r="O20" s="45">
        <v>3.5</v>
      </c>
      <c r="P20" s="37">
        <v>3.9</v>
      </c>
      <c r="Q20" s="17">
        <v>4.0999999999999996</v>
      </c>
      <c r="R20" s="22" t="s">
        <v>348</v>
      </c>
      <c r="S20" s="3" t="s">
        <v>38</v>
      </c>
      <c r="T20" s="3">
        <v>11</v>
      </c>
      <c r="U20" s="37">
        <v>5</v>
      </c>
      <c r="V20" s="3"/>
      <c r="W20" s="17" t="s">
        <v>38</v>
      </c>
      <c r="X20" s="29">
        <v>5</v>
      </c>
      <c r="Y20" s="17">
        <v>4</v>
      </c>
      <c r="Z20" s="3">
        <v>4</v>
      </c>
    </row>
    <row r="21" spans="1:29">
      <c r="A21" s="2">
        <v>16</v>
      </c>
      <c r="B21" s="3" t="s">
        <v>349</v>
      </c>
      <c r="C21" s="3" t="s">
        <v>350</v>
      </c>
      <c r="D21" s="4" t="s">
        <v>322</v>
      </c>
      <c r="E21" s="3">
        <v>5</v>
      </c>
      <c r="F21" s="3">
        <v>5</v>
      </c>
      <c r="G21" s="37">
        <f t="shared" si="0"/>
        <v>5</v>
      </c>
      <c r="H21" s="59">
        <f>(5+4.5+5+5)/4</f>
        <v>4.875</v>
      </c>
      <c r="I21" s="3">
        <v>5</v>
      </c>
      <c r="J21" s="3">
        <v>4.2</v>
      </c>
      <c r="K21" s="17">
        <f t="shared" si="1"/>
        <v>4.9375</v>
      </c>
      <c r="L21" s="3">
        <f>(4.5+4+4.5+5+5)/5</f>
        <v>4.5999999999999996</v>
      </c>
      <c r="M21" s="3"/>
      <c r="N21" s="3">
        <v>3.8</v>
      </c>
      <c r="O21" s="17">
        <v>5</v>
      </c>
      <c r="P21" s="37">
        <v>3.9</v>
      </c>
      <c r="Q21" s="3">
        <v>4.5999999999999996</v>
      </c>
      <c r="R21" s="22" t="s">
        <v>38</v>
      </c>
      <c r="S21" s="3" t="s">
        <v>339</v>
      </c>
      <c r="T21" s="3">
        <v>7</v>
      </c>
      <c r="U21" s="37">
        <v>4.5999999999999996</v>
      </c>
      <c r="V21" s="3" t="s">
        <v>38</v>
      </c>
      <c r="W21" s="17"/>
      <c r="X21" s="29">
        <v>5</v>
      </c>
      <c r="Y21" s="17">
        <v>4</v>
      </c>
      <c r="Z21" s="3">
        <v>4.5</v>
      </c>
      <c r="AC21" s="30"/>
    </row>
    <row r="22" spans="1:29">
      <c r="A22" s="2">
        <v>17</v>
      </c>
      <c r="B22" s="3" t="s">
        <v>296</v>
      </c>
      <c r="C22" s="3" t="s">
        <v>351</v>
      </c>
      <c r="D22" s="4" t="s">
        <v>322</v>
      </c>
      <c r="E22" s="3">
        <v>5</v>
      </c>
      <c r="F22" s="3">
        <v>5</v>
      </c>
      <c r="G22" s="37">
        <f t="shared" si="0"/>
        <v>5</v>
      </c>
      <c r="H22" s="59">
        <f>(5+5+5+5)/4</f>
        <v>5</v>
      </c>
      <c r="I22" s="3">
        <v>5</v>
      </c>
      <c r="J22" s="3">
        <v>1</v>
      </c>
      <c r="K22" s="17">
        <f t="shared" si="1"/>
        <v>5</v>
      </c>
      <c r="L22" s="3">
        <f>(3.5+3.5+4.5+5+1)/5</f>
        <v>3.5</v>
      </c>
      <c r="M22" s="3"/>
      <c r="N22" s="3">
        <v>1</v>
      </c>
      <c r="O22" s="3">
        <v>1</v>
      </c>
      <c r="P22" s="37">
        <v>2.6</v>
      </c>
      <c r="Q22" s="17"/>
      <c r="R22" s="22" t="s">
        <v>41</v>
      </c>
      <c r="S22" s="3" t="s">
        <v>68</v>
      </c>
      <c r="T22" s="3">
        <v>3</v>
      </c>
      <c r="U22" s="37">
        <v>3.8</v>
      </c>
      <c r="V22" s="3" t="s">
        <v>38</v>
      </c>
      <c r="W22" s="17" t="s">
        <v>38</v>
      </c>
      <c r="X22" s="29">
        <v>10</v>
      </c>
      <c r="Y22" s="17">
        <v>5</v>
      </c>
      <c r="Z22" s="3">
        <v>4.3</v>
      </c>
    </row>
    <row r="23" spans="1:29">
      <c r="A23" s="2">
        <v>18</v>
      </c>
      <c r="B23" s="3" t="s">
        <v>352</v>
      </c>
      <c r="C23" s="3" t="s">
        <v>353</v>
      </c>
      <c r="D23" s="4" t="s">
        <v>322</v>
      </c>
      <c r="E23" s="3">
        <v>3.2</v>
      </c>
      <c r="F23" s="3">
        <v>4.5</v>
      </c>
      <c r="G23" s="38">
        <f t="shared" si="0"/>
        <v>3.85</v>
      </c>
      <c r="H23" s="59">
        <f>(4.2+2.5+5+5)/4</f>
        <v>4.1749999999999998</v>
      </c>
      <c r="I23" s="3">
        <v>5</v>
      </c>
      <c r="J23" s="3">
        <v>4</v>
      </c>
      <c r="K23" s="17">
        <f t="shared" si="1"/>
        <v>4.5875000000000004</v>
      </c>
      <c r="L23" s="17">
        <f>(4+4+4.5+5+1)/5</f>
        <v>3.7</v>
      </c>
      <c r="M23" s="3"/>
      <c r="N23" s="3">
        <v>3.8</v>
      </c>
      <c r="O23" s="17">
        <v>3.8</v>
      </c>
      <c r="P23" s="37">
        <v>4.2</v>
      </c>
      <c r="Q23" s="3">
        <v>4.5999999999999996</v>
      </c>
      <c r="R23" s="3"/>
      <c r="S23" s="3" t="s">
        <v>68</v>
      </c>
      <c r="T23" s="3">
        <v>1</v>
      </c>
      <c r="U23" s="37">
        <v>3.4</v>
      </c>
      <c r="V23" s="3" t="s">
        <v>38</v>
      </c>
      <c r="W23" s="17" t="s">
        <v>38</v>
      </c>
      <c r="X23" s="29">
        <v>10</v>
      </c>
      <c r="Y23" s="17">
        <v>5</v>
      </c>
      <c r="Z23" s="3">
        <v>4.5</v>
      </c>
    </row>
    <row r="24" spans="1:29">
      <c r="A24" s="2">
        <v>19</v>
      </c>
      <c r="B24" s="3" t="s">
        <v>354</v>
      </c>
      <c r="C24" s="3" t="s">
        <v>355</v>
      </c>
      <c r="D24" s="4" t="s">
        <v>316</v>
      </c>
      <c r="E24" s="3">
        <v>4</v>
      </c>
      <c r="F24" s="3">
        <v>5</v>
      </c>
      <c r="G24" s="37">
        <f t="shared" si="0"/>
        <v>4.5</v>
      </c>
      <c r="H24" s="59">
        <f>(5+5+5+5)/4</f>
        <v>5</v>
      </c>
      <c r="I24" s="3">
        <v>5</v>
      </c>
      <c r="J24" s="3">
        <v>4.2</v>
      </c>
      <c r="K24" s="17">
        <f t="shared" si="1"/>
        <v>5</v>
      </c>
      <c r="L24" s="3">
        <f>(5+4.5+5+5+4.5)/5</f>
        <v>4.8</v>
      </c>
      <c r="M24" s="3"/>
      <c r="N24" s="3">
        <v>5</v>
      </c>
      <c r="O24" s="17">
        <v>5</v>
      </c>
      <c r="P24" s="37">
        <v>4</v>
      </c>
      <c r="Q24" s="3">
        <v>4.5999999999999996</v>
      </c>
      <c r="R24" s="22" t="s">
        <v>356</v>
      </c>
      <c r="S24" s="3" t="s">
        <v>68</v>
      </c>
      <c r="T24" s="3">
        <v>12</v>
      </c>
      <c r="U24" s="37">
        <v>5</v>
      </c>
      <c r="V24" s="3" t="s">
        <v>38</v>
      </c>
      <c r="W24" s="17"/>
      <c r="X24" s="29">
        <v>5</v>
      </c>
      <c r="Y24" s="17">
        <v>4</v>
      </c>
      <c r="Z24" s="3">
        <v>4</v>
      </c>
    </row>
    <row r="25" spans="1:29">
      <c r="A25" s="2">
        <v>20</v>
      </c>
      <c r="B25" s="3" t="s">
        <v>82</v>
      </c>
      <c r="C25" s="3" t="s">
        <v>357</v>
      </c>
      <c r="D25" s="4" t="s">
        <v>316</v>
      </c>
      <c r="E25" s="3">
        <v>3.2</v>
      </c>
      <c r="F25" s="3">
        <v>5</v>
      </c>
      <c r="G25" s="37">
        <f t="shared" si="0"/>
        <v>4.0999999999999996</v>
      </c>
      <c r="H25" s="59">
        <f>(5+5+5+5)/4</f>
        <v>5</v>
      </c>
      <c r="I25" s="3">
        <v>5</v>
      </c>
      <c r="J25" s="3">
        <v>5</v>
      </c>
      <c r="K25" s="17">
        <f t="shared" si="1"/>
        <v>5</v>
      </c>
      <c r="L25" s="3">
        <f>(5+5+5+5+4.5)/5</f>
        <v>4.9000000000000004</v>
      </c>
      <c r="M25" s="3"/>
      <c r="N25" s="3">
        <v>5</v>
      </c>
      <c r="O25" s="17">
        <v>5</v>
      </c>
      <c r="P25" s="37">
        <v>2.7</v>
      </c>
      <c r="Q25" s="3">
        <v>4.4000000000000004</v>
      </c>
      <c r="R25" s="22" t="s">
        <v>65</v>
      </c>
      <c r="S25" s="3" t="s">
        <v>68</v>
      </c>
      <c r="T25" s="3">
        <v>8</v>
      </c>
      <c r="U25" s="37">
        <v>4.5999999999999996</v>
      </c>
      <c r="V25" s="3" t="s">
        <v>38</v>
      </c>
      <c r="W25" s="17" t="s">
        <v>38</v>
      </c>
      <c r="X25" s="29">
        <v>10</v>
      </c>
      <c r="Y25" s="17">
        <v>5</v>
      </c>
      <c r="Z25" s="3">
        <v>4</v>
      </c>
    </row>
    <row r="26" spans="1:29">
      <c r="A26" s="2">
        <v>21</v>
      </c>
      <c r="B26" s="3" t="s">
        <v>164</v>
      </c>
      <c r="C26" s="3" t="s">
        <v>358</v>
      </c>
      <c r="D26" s="4" t="s">
        <v>322</v>
      </c>
      <c r="E26" s="3">
        <v>5</v>
      </c>
      <c r="F26" s="3">
        <v>1</v>
      </c>
      <c r="G26" s="3">
        <f t="shared" si="0"/>
        <v>3</v>
      </c>
      <c r="H26" s="22">
        <v>2</v>
      </c>
      <c r="I26" s="3">
        <v>5</v>
      </c>
      <c r="J26" s="3">
        <v>1</v>
      </c>
      <c r="K26" s="17">
        <f t="shared" si="1"/>
        <v>3.5</v>
      </c>
      <c r="L26" s="17">
        <f>(3.5+4+5+5+4.5)/5</f>
        <v>4.4000000000000004</v>
      </c>
      <c r="M26" s="3"/>
      <c r="N26" s="3">
        <v>1</v>
      </c>
      <c r="O26" s="17">
        <v>1</v>
      </c>
      <c r="P26" s="37">
        <v>3.7</v>
      </c>
      <c r="Q26" s="3">
        <v>4.5999999999999996</v>
      </c>
      <c r="R26" s="22"/>
      <c r="S26" s="3" t="s">
        <v>68</v>
      </c>
      <c r="T26" s="3">
        <v>1</v>
      </c>
      <c r="U26" s="37">
        <v>3.4</v>
      </c>
      <c r="V26" s="3" t="s">
        <v>38</v>
      </c>
      <c r="W26" s="17" t="s">
        <v>38</v>
      </c>
      <c r="X26" s="29">
        <v>10</v>
      </c>
      <c r="Y26" s="17">
        <v>5</v>
      </c>
      <c r="Z26" s="3">
        <v>4</v>
      </c>
    </row>
    <row r="27" spans="1:29">
      <c r="A27" s="2">
        <v>22</v>
      </c>
      <c r="B27" s="3" t="s">
        <v>82</v>
      </c>
      <c r="C27" s="3" t="s">
        <v>359</v>
      </c>
      <c r="D27" s="4" t="s">
        <v>322</v>
      </c>
      <c r="E27" s="3">
        <v>5</v>
      </c>
      <c r="F27" s="3">
        <v>4.5</v>
      </c>
      <c r="G27" s="38">
        <f t="shared" si="0"/>
        <v>4.75</v>
      </c>
      <c r="H27" s="59">
        <f>(4.2+4.5+5+5)/4</f>
        <v>4.6749999999999998</v>
      </c>
      <c r="I27" s="3">
        <v>1</v>
      </c>
      <c r="J27" s="3">
        <v>1</v>
      </c>
      <c r="K27" s="17">
        <f t="shared" si="1"/>
        <v>2.8374999999999999</v>
      </c>
      <c r="L27" s="3">
        <f>(3.5+3.5+3.5+3.5+1)/5</f>
        <v>3</v>
      </c>
      <c r="M27" s="3"/>
      <c r="N27" s="45">
        <v>3.5</v>
      </c>
      <c r="O27" s="45">
        <v>3.5</v>
      </c>
      <c r="P27" s="37">
        <v>2</v>
      </c>
      <c r="Q27" s="17">
        <v>1</v>
      </c>
      <c r="R27" s="3"/>
      <c r="S27" s="3" t="s">
        <v>68</v>
      </c>
      <c r="T27" s="3">
        <v>1</v>
      </c>
      <c r="U27" s="37">
        <v>3.4</v>
      </c>
      <c r="V27" s="3"/>
      <c r="W27" s="17"/>
      <c r="X27" s="29"/>
      <c r="Y27" s="17">
        <v>3.2</v>
      </c>
      <c r="Z27" s="3">
        <v>4.3</v>
      </c>
    </row>
    <row r="28" spans="1:29">
      <c r="A28" s="2">
        <v>23</v>
      </c>
      <c r="B28" s="3" t="s">
        <v>360</v>
      </c>
      <c r="C28" s="3" t="s">
        <v>361</v>
      </c>
      <c r="D28" s="4" t="s">
        <v>322</v>
      </c>
      <c r="E28" s="3">
        <v>5</v>
      </c>
      <c r="F28" s="3">
        <v>3.5</v>
      </c>
      <c r="G28" s="38">
        <f t="shared" si="0"/>
        <v>4.25</v>
      </c>
      <c r="H28" s="59">
        <f>(2+3+5+5)/4</f>
        <v>3.75</v>
      </c>
      <c r="I28" s="3">
        <v>5</v>
      </c>
      <c r="J28" s="3">
        <v>4.2</v>
      </c>
      <c r="K28" s="17">
        <f t="shared" si="1"/>
        <v>4.375</v>
      </c>
      <c r="L28" s="3">
        <f>(4+4+4.5+5+5)/5</f>
        <v>4.5</v>
      </c>
      <c r="M28" s="3"/>
      <c r="N28" s="45">
        <v>3.2</v>
      </c>
      <c r="O28" s="46">
        <v>3.5</v>
      </c>
      <c r="P28" s="37">
        <v>3.3</v>
      </c>
      <c r="Q28" s="3">
        <v>3.9</v>
      </c>
      <c r="R28" s="3" t="s">
        <v>68</v>
      </c>
      <c r="S28" s="3"/>
      <c r="T28" s="3">
        <v>1</v>
      </c>
      <c r="U28" s="37">
        <v>3.4</v>
      </c>
      <c r="V28" s="3" t="s">
        <v>38</v>
      </c>
      <c r="W28" s="17" t="s">
        <v>38</v>
      </c>
      <c r="X28" s="29">
        <v>10</v>
      </c>
      <c r="Y28" s="17">
        <v>5</v>
      </c>
      <c r="Z28" s="3">
        <v>3.9</v>
      </c>
    </row>
    <row r="29" spans="1:29">
      <c r="A29" s="2"/>
      <c r="B29" s="3"/>
      <c r="C29" s="3"/>
      <c r="D29" s="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9" hidden="1">
      <c r="A30" s="2">
        <v>20</v>
      </c>
      <c r="B30" s="15" t="s">
        <v>82</v>
      </c>
      <c r="C30" s="15" t="s">
        <v>362</v>
      </c>
      <c r="D30" s="4" t="s">
        <v>316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9" hidden="1">
      <c r="A31" s="2">
        <v>23</v>
      </c>
      <c r="B31" s="15" t="s">
        <v>363</v>
      </c>
      <c r="C31" s="15" t="s">
        <v>364</v>
      </c>
      <c r="D31" s="4" t="s">
        <v>322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9" hidden="1">
      <c r="A32" s="2">
        <v>24</v>
      </c>
      <c r="B32" s="15" t="s">
        <v>260</v>
      </c>
      <c r="C32" s="15" t="s">
        <v>365</v>
      </c>
      <c r="D32" s="4" t="s">
        <v>316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5" spans="1:14">
      <c r="B35" s="18" t="s">
        <v>188</v>
      </c>
      <c r="M35" s="1">
        <v>5</v>
      </c>
      <c r="N35" s="1" t="s">
        <v>191</v>
      </c>
    </row>
    <row r="36" spans="1:14">
      <c r="M36" s="1">
        <v>4.8</v>
      </c>
      <c r="N36" s="41" t="s">
        <v>192</v>
      </c>
    </row>
    <row r="37" spans="1:14">
      <c r="A37" s="1">
        <v>1</v>
      </c>
      <c r="B37" s="1" t="s">
        <v>366</v>
      </c>
      <c r="C37" s="48" t="s">
        <v>118</v>
      </c>
      <c r="D37" s="81">
        <v>44495</v>
      </c>
      <c r="E37" s="81"/>
      <c r="F37" s="81"/>
      <c r="G37" s="81"/>
      <c r="M37" s="1">
        <v>4.5999999999999996</v>
      </c>
      <c r="N37" s="1" t="s">
        <v>103</v>
      </c>
    </row>
    <row r="38" spans="1:14">
      <c r="B38" s="1" t="s">
        <v>332</v>
      </c>
      <c r="C38" s="48"/>
      <c r="D38" s="49"/>
      <c r="E38" s="48"/>
      <c r="F38" s="48"/>
      <c r="G38" s="48"/>
      <c r="M38" s="1">
        <v>4.4000000000000004</v>
      </c>
      <c r="N38" s="1">
        <v>6</v>
      </c>
    </row>
    <row r="39" spans="1:14">
      <c r="B39" s="1" t="s">
        <v>367</v>
      </c>
      <c r="C39" s="48"/>
      <c r="D39" s="49"/>
      <c r="E39" s="48"/>
      <c r="F39" s="48"/>
      <c r="G39" s="48"/>
      <c r="M39" s="1">
        <v>4.2</v>
      </c>
      <c r="N39" s="1">
        <v>5</v>
      </c>
    </row>
    <row r="40" spans="1:14">
      <c r="B40" s="1" t="s">
        <v>164</v>
      </c>
      <c r="C40" s="48"/>
      <c r="D40" s="49"/>
      <c r="E40" s="48"/>
      <c r="F40" s="48"/>
      <c r="G40" s="48"/>
    </row>
    <row r="41" spans="1:14">
      <c r="C41" s="48"/>
      <c r="D41" s="49"/>
      <c r="E41" s="48"/>
      <c r="F41" s="48"/>
      <c r="G41" s="48"/>
      <c r="M41" s="1">
        <v>4</v>
      </c>
      <c r="N41" s="1">
        <v>4</v>
      </c>
    </row>
    <row r="42" spans="1:14">
      <c r="A42" s="1">
        <v>2</v>
      </c>
      <c r="B42" s="1" t="s">
        <v>324</v>
      </c>
      <c r="C42" s="48" t="s">
        <v>197</v>
      </c>
      <c r="D42" s="81">
        <v>44496</v>
      </c>
      <c r="E42" s="81"/>
      <c r="F42" s="81"/>
      <c r="G42" s="81"/>
      <c r="M42" s="1">
        <v>3.8</v>
      </c>
      <c r="N42" s="1">
        <v>3</v>
      </c>
    </row>
    <row r="43" spans="1:14">
      <c r="B43" s="1" t="s">
        <v>320</v>
      </c>
      <c r="C43" s="48"/>
      <c r="D43" s="49"/>
      <c r="E43" s="48"/>
      <c r="F43" s="48"/>
      <c r="G43" s="48"/>
      <c r="M43" s="1">
        <v>3.6</v>
      </c>
      <c r="N43" s="1">
        <v>2</v>
      </c>
    </row>
    <row r="44" spans="1:14">
      <c r="B44" s="1" t="s">
        <v>368</v>
      </c>
      <c r="C44" s="48"/>
      <c r="D44" s="49"/>
      <c r="E44" s="48"/>
      <c r="F44" s="48"/>
      <c r="G44" s="48"/>
      <c r="M44" s="1">
        <v>3.4</v>
      </c>
      <c r="N44" s="1">
        <v>1</v>
      </c>
    </row>
    <row r="45" spans="1:14">
      <c r="C45" s="48"/>
      <c r="D45" s="49"/>
      <c r="E45" s="48"/>
      <c r="F45" s="48"/>
      <c r="G45" s="48"/>
    </row>
    <row r="46" spans="1:14">
      <c r="A46" s="1">
        <v>3</v>
      </c>
      <c r="B46" s="1" t="s">
        <v>369</v>
      </c>
      <c r="C46" s="48" t="s">
        <v>98</v>
      </c>
      <c r="D46" s="81">
        <v>44495</v>
      </c>
      <c r="E46" s="81"/>
      <c r="F46" s="81"/>
      <c r="G46" s="81"/>
    </row>
    <row r="47" spans="1:14">
      <c r="B47" s="1" t="s">
        <v>370</v>
      </c>
      <c r="C47" s="48"/>
      <c r="D47" s="49"/>
      <c r="E47" s="48"/>
      <c r="F47" s="48"/>
      <c r="G47" s="48"/>
    </row>
    <row r="48" spans="1:14">
      <c r="B48" s="1" t="s">
        <v>360</v>
      </c>
      <c r="C48" s="48"/>
      <c r="D48" s="49"/>
      <c r="E48" s="48"/>
      <c r="F48" s="48"/>
      <c r="G48" s="48"/>
    </row>
    <row r="49" spans="1:7">
      <c r="C49" s="48"/>
      <c r="D49" s="49"/>
      <c r="E49" s="48"/>
      <c r="F49" s="48"/>
      <c r="G49" s="48"/>
    </row>
    <row r="50" spans="1:7">
      <c r="A50" s="1">
        <v>4</v>
      </c>
      <c r="B50" s="1" t="s">
        <v>371</v>
      </c>
      <c r="C50" s="48" t="s">
        <v>114</v>
      </c>
      <c r="D50" s="81">
        <v>44495</v>
      </c>
      <c r="E50" s="81"/>
      <c r="F50" s="81"/>
      <c r="G50" s="81"/>
    </row>
    <row r="51" spans="1:7">
      <c r="B51" s="1" t="s">
        <v>372</v>
      </c>
      <c r="C51" s="48"/>
      <c r="D51" s="49"/>
      <c r="E51" s="48"/>
      <c r="F51" s="48"/>
      <c r="G51" s="48"/>
    </row>
    <row r="52" spans="1:7">
      <c r="B52" s="1" t="s">
        <v>373</v>
      </c>
      <c r="C52" s="48"/>
      <c r="D52" s="49"/>
      <c r="E52" s="48"/>
      <c r="F52" s="48"/>
      <c r="G52" s="48"/>
    </row>
    <row r="53" spans="1:7">
      <c r="C53" s="48"/>
      <c r="D53" s="49"/>
      <c r="E53" s="48"/>
      <c r="F53" s="48"/>
      <c r="G53" s="48"/>
    </row>
    <row r="54" spans="1:7">
      <c r="A54" s="1">
        <v>5</v>
      </c>
      <c r="B54" s="1" t="s">
        <v>88</v>
      </c>
      <c r="C54" s="48" t="s">
        <v>104</v>
      </c>
      <c r="D54" s="81">
        <v>44495</v>
      </c>
      <c r="E54" s="81"/>
      <c r="F54" s="81"/>
      <c r="G54" s="81"/>
    </row>
    <row r="55" spans="1:7">
      <c r="B55" s="1" t="s">
        <v>374</v>
      </c>
      <c r="C55" s="48"/>
      <c r="D55" s="49"/>
      <c r="E55" s="48"/>
      <c r="F55" s="48"/>
      <c r="G55" s="48"/>
    </row>
    <row r="56" spans="1:7">
      <c r="B56" s="1" t="s">
        <v>375</v>
      </c>
      <c r="C56" s="48"/>
      <c r="D56" s="49"/>
      <c r="E56" s="48"/>
      <c r="F56" s="48"/>
      <c r="G56" s="48"/>
    </row>
    <row r="57" spans="1:7">
      <c r="C57" s="48"/>
      <c r="D57" s="49"/>
      <c r="E57" s="48"/>
      <c r="F57" s="48"/>
      <c r="G57" s="48"/>
    </row>
    <row r="58" spans="1:7">
      <c r="A58" s="1">
        <v>6</v>
      </c>
      <c r="B58" s="1" t="s">
        <v>376</v>
      </c>
      <c r="C58" s="48" t="s">
        <v>108</v>
      </c>
      <c r="D58" s="81">
        <v>44494</v>
      </c>
      <c r="E58" s="81"/>
      <c r="F58" s="81"/>
      <c r="G58" s="81"/>
    </row>
    <row r="59" spans="1:7">
      <c r="B59" s="1" t="s">
        <v>377</v>
      </c>
      <c r="C59" s="48"/>
      <c r="D59" s="49"/>
      <c r="E59" s="48"/>
      <c r="F59" s="48"/>
      <c r="G59" s="48"/>
    </row>
    <row r="60" spans="1:7">
      <c r="B60" s="1" t="s">
        <v>378</v>
      </c>
      <c r="C60" s="48"/>
      <c r="D60" s="49"/>
      <c r="E60" s="48"/>
      <c r="F60" s="48"/>
      <c r="G60" s="48"/>
    </row>
    <row r="61" spans="1:7">
      <c r="C61" s="48"/>
      <c r="D61" s="49"/>
      <c r="E61" s="48"/>
      <c r="F61" s="48"/>
      <c r="G61" s="48"/>
    </row>
    <row r="62" spans="1:7">
      <c r="A62" s="1">
        <v>7</v>
      </c>
      <c r="B62" s="1" t="s">
        <v>379</v>
      </c>
      <c r="C62" s="48" t="s">
        <v>111</v>
      </c>
      <c r="D62" s="81">
        <v>44494</v>
      </c>
      <c r="E62" s="81"/>
      <c r="F62" s="81"/>
      <c r="G62" s="81"/>
    </row>
    <row r="63" spans="1:7">
      <c r="B63" s="1" t="s">
        <v>380</v>
      </c>
      <c r="D63" s="1"/>
    </row>
    <row r="64" spans="1:7">
      <c r="B64" s="1" t="s">
        <v>381</v>
      </c>
    </row>
  </sheetData>
  <mergeCells count="16">
    <mergeCell ref="D37:G37"/>
    <mergeCell ref="B2:Z2"/>
    <mergeCell ref="B4:B5"/>
    <mergeCell ref="C4:C5"/>
    <mergeCell ref="D4:D5"/>
    <mergeCell ref="E4:M4"/>
    <mergeCell ref="N4:Q4"/>
    <mergeCell ref="R4:Z4"/>
    <mergeCell ref="M3:N3"/>
    <mergeCell ref="O3:P3"/>
    <mergeCell ref="D62:G62"/>
    <mergeCell ref="D42:G42"/>
    <mergeCell ref="D46:G46"/>
    <mergeCell ref="D50:G50"/>
    <mergeCell ref="D54:G54"/>
    <mergeCell ref="D58:G58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W72"/>
  <sheetViews>
    <sheetView zoomScale="130" zoomScaleNormal="130" workbookViewId="0">
      <pane xSplit="4" ySplit="5" topLeftCell="E6" activePane="bottomRight" state="frozen"/>
      <selection pane="bottomRight" activeCell="I8" sqref="I8"/>
      <selection pane="bottomLeft" activeCell="A6" sqref="A6"/>
      <selection pane="topRight" activeCell="F1" sqref="F1"/>
    </sheetView>
  </sheetViews>
  <sheetFormatPr defaultColWidth="11.42578125" defaultRowHeight="16.5"/>
  <cols>
    <col min="1" max="1" width="3.5703125" style="1" customWidth="1"/>
    <col min="2" max="2" width="18.42578125" style="1" customWidth="1"/>
    <col min="3" max="3" width="22.85546875" style="1" customWidth="1"/>
    <col min="4" max="4" width="5" style="2" customWidth="1"/>
    <col min="5" max="5" width="6.28515625" style="1" hidden="1" customWidth="1"/>
    <col min="6" max="6" width="6.28515625" style="1" customWidth="1"/>
    <col min="7" max="8" width="6.28515625" style="1" hidden="1" customWidth="1"/>
    <col min="9" max="9" width="7.5703125" style="1" customWidth="1"/>
    <col min="10" max="10" width="6.28515625" style="1" customWidth="1"/>
    <col min="11" max="11" width="5.140625" style="1" customWidth="1"/>
    <col min="12" max="14" width="6.140625" style="1" customWidth="1"/>
    <col min="15" max="15" width="7.7109375" style="1" customWidth="1"/>
    <col min="16" max="16" width="7.140625" style="1" hidden="1" customWidth="1"/>
    <col min="17" max="17" width="6.140625" style="1" hidden="1" customWidth="1"/>
    <col min="18" max="19" width="7.7109375" style="1" customWidth="1"/>
    <col min="20" max="20" width="8.7109375" style="1" customWidth="1"/>
    <col min="21" max="21" width="1.7109375" style="1" customWidth="1"/>
    <col min="22" max="22" width="3.28515625" style="1" customWidth="1"/>
    <col min="23" max="16384" width="11.42578125" style="1"/>
  </cols>
  <sheetData>
    <row r="2" spans="1:23">
      <c r="B2" s="68" t="s">
        <v>0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3" ht="15" customHeight="1">
      <c r="B3" s="7" t="s">
        <v>1</v>
      </c>
      <c r="C3" s="6" t="s">
        <v>2</v>
      </c>
      <c r="D3" s="6"/>
      <c r="E3" s="11"/>
      <c r="F3" s="11"/>
      <c r="G3" s="11"/>
      <c r="H3" s="11"/>
      <c r="I3" s="11"/>
      <c r="J3" s="11"/>
      <c r="K3" s="80" t="s">
        <v>3</v>
      </c>
      <c r="L3" s="80"/>
      <c r="M3" s="80" t="s">
        <v>4</v>
      </c>
      <c r="N3" s="80"/>
      <c r="O3" s="11" t="s">
        <v>5</v>
      </c>
      <c r="P3" s="14" t="s">
        <v>382</v>
      </c>
      <c r="Q3" s="8"/>
      <c r="R3" s="8" t="s">
        <v>7</v>
      </c>
      <c r="S3" s="8"/>
      <c r="T3" s="8" t="s">
        <v>8</v>
      </c>
    </row>
    <row r="4" spans="1:23" s="2" customFormat="1" ht="15" customHeight="1">
      <c r="B4" s="70" t="s">
        <v>9</v>
      </c>
      <c r="C4" s="70" t="s">
        <v>10</v>
      </c>
      <c r="D4" s="72" t="s">
        <v>11</v>
      </c>
      <c r="E4" s="74" t="s">
        <v>12</v>
      </c>
      <c r="F4" s="75"/>
      <c r="G4" s="75"/>
      <c r="H4" s="75"/>
      <c r="I4" s="75"/>
      <c r="J4" s="75"/>
      <c r="K4" s="76"/>
      <c r="L4" s="77" t="s">
        <v>13</v>
      </c>
      <c r="M4" s="78"/>
      <c r="N4" s="78"/>
      <c r="O4" s="79"/>
      <c r="P4" s="77" t="s">
        <v>14</v>
      </c>
      <c r="Q4" s="78"/>
      <c r="R4" s="78"/>
      <c r="S4" s="78"/>
      <c r="T4" s="79"/>
    </row>
    <row r="5" spans="1:23" ht="32.25" customHeight="1">
      <c r="A5" s="2"/>
      <c r="B5" s="71"/>
      <c r="C5" s="71"/>
      <c r="D5" s="73"/>
      <c r="E5" s="12" t="s">
        <v>15</v>
      </c>
      <c r="F5" s="12" t="s">
        <v>17</v>
      </c>
      <c r="G5" s="12" t="s">
        <v>383</v>
      </c>
      <c r="H5" s="12" t="s">
        <v>384</v>
      </c>
      <c r="I5" s="12" t="s">
        <v>20</v>
      </c>
      <c r="J5" s="13" t="s">
        <v>21</v>
      </c>
      <c r="K5" s="13" t="s">
        <v>22</v>
      </c>
      <c r="L5" s="12" t="s">
        <v>385</v>
      </c>
      <c r="M5" s="12" t="s">
        <v>386</v>
      </c>
      <c r="N5" s="12" t="s">
        <v>26</v>
      </c>
      <c r="O5" s="12" t="s">
        <v>27</v>
      </c>
      <c r="P5" s="12" t="s">
        <v>28</v>
      </c>
      <c r="Q5" s="12" t="s">
        <v>130</v>
      </c>
      <c r="R5" s="12" t="s">
        <v>127</v>
      </c>
      <c r="S5" s="12"/>
      <c r="T5" s="12" t="s">
        <v>32</v>
      </c>
    </row>
    <row r="6" spans="1:23">
      <c r="A6" s="2">
        <v>1</v>
      </c>
      <c r="B6" s="3" t="s">
        <v>387</v>
      </c>
      <c r="C6" s="3" t="s">
        <v>388</v>
      </c>
      <c r="D6" s="4" t="s">
        <v>389</v>
      </c>
      <c r="E6" s="3" t="s">
        <v>38</v>
      </c>
      <c r="F6" s="37">
        <v>5</v>
      </c>
      <c r="G6" s="17">
        <f>(5+5+5)/3</f>
        <v>5</v>
      </c>
      <c r="H6" s="17">
        <v>5</v>
      </c>
      <c r="I6" s="17">
        <f>(G6+H6)/2</f>
        <v>5</v>
      </c>
      <c r="J6" s="3">
        <f>(5+5+5+5+5)/5</f>
        <v>5</v>
      </c>
      <c r="K6" s="3"/>
      <c r="L6" s="3">
        <v>5</v>
      </c>
      <c r="M6" s="3">
        <v>5</v>
      </c>
      <c r="N6" s="37">
        <v>3.3</v>
      </c>
      <c r="O6" s="3">
        <v>4.7</v>
      </c>
      <c r="P6" s="22" t="s">
        <v>38</v>
      </c>
      <c r="Q6" s="3">
        <v>5</v>
      </c>
      <c r="R6" s="17">
        <v>4</v>
      </c>
      <c r="S6" s="17"/>
      <c r="T6" s="3"/>
    </row>
    <row r="7" spans="1:23">
      <c r="A7" s="2">
        <v>2</v>
      </c>
      <c r="B7" s="3" t="s">
        <v>390</v>
      </c>
      <c r="C7" s="3" t="s">
        <v>391</v>
      </c>
      <c r="D7" s="4" t="s">
        <v>389</v>
      </c>
      <c r="E7" s="3" t="s">
        <v>38</v>
      </c>
      <c r="F7" s="37">
        <v>5</v>
      </c>
      <c r="G7" s="17">
        <f>(5+5+5)/3</f>
        <v>5</v>
      </c>
      <c r="H7" s="17">
        <v>5</v>
      </c>
      <c r="I7" s="17">
        <f t="shared" ref="I7:I32" si="0">(G7+H7)/2</f>
        <v>5</v>
      </c>
      <c r="J7" s="3">
        <f>(5+5+5+5+5)/5</f>
        <v>5</v>
      </c>
      <c r="K7" s="3"/>
      <c r="L7" s="3">
        <v>2.5</v>
      </c>
      <c r="M7" s="3">
        <v>2.5</v>
      </c>
      <c r="N7" s="37">
        <v>4.5</v>
      </c>
      <c r="O7" s="3">
        <v>4.8</v>
      </c>
      <c r="P7" s="22" t="s">
        <v>38</v>
      </c>
      <c r="Q7" s="3">
        <v>5</v>
      </c>
      <c r="R7" s="17">
        <v>4</v>
      </c>
      <c r="S7" s="17"/>
      <c r="T7" s="3"/>
      <c r="V7" s="23"/>
      <c r="W7" s="19" t="s">
        <v>44</v>
      </c>
    </row>
    <row r="8" spans="1:23">
      <c r="A8" s="2">
        <v>3</v>
      </c>
      <c r="B8" s="3" t="s">
        <v>392</v>
      </c>
      <c r="C8" s="3" t="s">
        <v>393</v>
      </c>
      <c r="D8" s="4" t="s">
        <v>394</v>
      </c>
      <c r="E8" s="3" t="s">
        <v>395</v>
      </c>
      <c r="F8" s="37">
        <v>3.5</v>
      </c>
      <c r="G8" s="17">
        <f>(2.5+5+4.5)/3</f>
        <v>4</v>
      </c>
      <c r="H8" s="17">
        <v>5</v>
      </c>
      <c r="I8" s="17">
        <f t="shared" si="0"/>
        <v>4.5</v>
      </c>
      <c r="J8" s="3">
        <f>(4.5+5+5+5+5)/5</f>
        <v>4.9000000000000004</v>
      </c>
      <c r="K8" s="3"/>
      <c r="L8" s="3">
        <v>1</v>
      </c>
      <c r="M8" s="17">
        <v>1</v>
      </c>
      <c r="N8" s="37">
        <v>2.7</v>
      </c>
      <c r="O8" s="17">
        <v>1</v>
      </c>
      <c r="P8" s="22" t="s">
        <v>38</v>
      </c>
      <c r="Q8" s="3">
        <v>5</v>
      </c>
      <c r="R8" s="17">
        <v>4</v>
      </c>
      <c r="S8" s="17"/>
      <c r="T8" s="3"/>
      <c r="V8" s="26"/>
      <c r="W8" s="19" t="s">
        <v>50</v>
      </c>
    </row>
    <row r="9" spans="1:23">
      <c r="A9" s="2">
        <v>4</v>
      </c>
      <c r="B9" s="3" t="s">
        <v>337</v>
      </c>
      <c r="C9" s="3" t="s">
        <v>225</v>
      </c>
      <c r="D9" s="4" t="s">
        <v>389</v>
      </c>
      <c r="E9" s="3" t="s">
        <v>396</v>
      </c>
      <c r="F9" s="37">
        <v>3.5</v>
      </c>
      <c r="G9" s="17">
        <f>(1+5+5)/3</f>
        <v>3.6666666666666665</v>
      </c>
      <c r="H9" s="17">
        <v>1</v>
      </c>
      <c r="I9" s="17">
        <f t="shared" si="0"/>
        <v>2.333333333333333</v>
      </c>
      <c r="J9" s="3">
        <f>(5+5+5+5+5)/5</f>
        <v>5</v>
      </c>
      <c r="K9" s="3"/>
      <c r="L9" s="3">
        <v>1</v>
      </c>
      <c r="M9" s="3">
        <v>1</v>
      </c>
      <c r="N9" s="37">
        <v>4.8</v>
      </c>
      <c r="O9" s="17">
        <v>4.5</v>
      </c>
      <c r="P9" s="22"/>
      <c r="Q9" s="3"/>
      <c r="R9" s="17">
        <v>3.2</v>
      </c>
      <c r="S9" s="17"/>
      <c r="T9" s="3"/>
      <c r="V9" s="27"/>
      <c r="W9" s="19" t="s">
        <v>54</v>
      </c>
    </row>
    <row r="10" spans="1:23">
      <c r="A10" s="2">
        <v>5</v>
      </c>
      <c r="B10" s="3" t="s">
        <v>397</v>
      </c>
      <c r="C10" s="3" t="s">
        <v>230</v>
      </c>
      <c r="D10" s="4" t="s">
        <v>394</v>
      </c>
      <c r="E10" s="3" t="s">
        <v>398</v>
      </c>
      <c r="F10" s="37">
        <v>4.5</v>
      </c>
      <c r="G10" s="17">
        <f>(1+5+5)/3</f>
        <v>3.6666666666666665</v>
      </c>
      <c r="H10" s="17">
        <v>5</v>
      </c>
      <c r="I10" s="17">
        <f t="shared" si="0"/>
        <v>4.333333333333333</v>
      </c>
      <c r="J10" s="3">
        <f>(4+4+5+5+1)/5</f>
        <v>3.8</v>
      </c>
      <c r="K10" s="3"/>
      <c r="L10" s="3">
        <v>1</v>
      </c>
      <c r="M10" s="3">
        <v>1</v>
      </c>
      <c r="N10" s="37">
        <v>2.2999999999999998</v>
      </c>
      <c r="O10" s="17">
        <v>3.9</v>
      </c>
      <c r="P10" s="22" t="s">
        <v>38</v>
      </c>
      <c r="Q10" s="3">
        <v>5</v>
      </c>
      <c r="R10" s="17">
        <v>4</v>
      </c>
      <c r="S10" s="17"/>
      <c r="T10" s="3"/>
      <c r="V10" s="25"/>
      <c r="W10" s="19" t="s">
        <v>58</v>
      </c>
    </row>
    <row r="11" spans="1:23">
      <c r="A11" s="2">
        <v>6</v>
      </c>
      <c r="B11" s="3" t="s">
        <v>142</v>
      </c>
      <c r="C11" s="3" t="s">
        <v>230</v>
      </c>
      <c r="D11" s="4" t="s">
        <v>394</v>
      </c>
      <c r="E11" s="3" t="s">
        <v>42</v>
      </c>
      <c r="F11" s="37">
        <v>4</v>
      </c>
      <c r="G11" s="17">
        <f>(5+5+5)/3</f>
        <v>5</v>
      </c>
      <c r="H11" s="17">
        <v>5</v>
      </c>
      <c r="I11" s="17">
        <f t="shared" si="0"/>
        <v>5</v>
      </c>
      <c r="J11" s="3">
        <f>(4+4+5+5+1)/5</f>
        <v>3.8</v>
      </c>
      <c r="K11" s="3"/>
      <c r="L11" s="3">
        <v>4.2</v>
      </c>
      <c r="M11" s="3">
        <v>2.5</v>
      </c>
      <c r="N11" s="37">
        <v>2.5</v>
      </c>
      <c r="O11" s="3">
        <v>4.4000000000000004</v>
      </c>
      <c r="P11" s="22" t="s">
        <v>38</v>
      </c>
      <c r="Q11" s="3">
        <v>5</v>
      </c>
      <c r="R11" s="17">
        <v>4</v>
      </c>
      <c r="S11" s="17"/>
      <c r="T11" s="3"/>
      <c r="V11" s="28"/>
      <c r="W11" s="19" t="s">
        <v>62</v>
      </c>
    </row>
    <row r="12" spans="1:23">
      <c r="A12" s="2">
        <v>7</v>
      </c>
      <c r="B12" s="3" t="s">
        <v>399</v>
      </c>
      <c r="C12" s="3" t="s">
        <v>400</v>
      </c>
      <c r="D12" s="4" t="s">
        <v>389</v>
      </c>
      <c r="E12" s="3" t="s">
        <v>395</v>
      </c>
      <c r="F12" s="37">
        <v>3.5</v>
      </c>
      <c r="G12" s="17">
        <f>(3.5+3.5+3.2)/3</f>
        <v>3.4</v>
      </c>
      <c r="H12" s="17">
        <v>5</v>
      </c>
      <c r="I12" s="17">
        <f t="shared" si="0"/>
        <v>4.2</v>
      </c>
      <c r="J12" s="3">
        <f>(3.5+3.5+4.5+5+1)/5</f>
        <v>3.5</v>
      </c>
      <c r="K12" s="3"/>
      <c r="L12" s="3">
        <v>1</v>
      </c>
      <c r="M12" s="3">
        <v>1</v>
      </c>
      <c r="N12" s="37">
        <v>2.6</v>
      </c>
      <c r="O12" s="17">
        <v>1</v>
      </c>
      <c r="P12" s="3" t="s">
        <v>38</v>
      </c>
      <c r="Q12" s="3">
        <v>5</v>
      </c>
      <c r="R12" s="17">
        <v>4</v>
      </c>
      <c r="S12" s="17"/>
      <c r="T12" s="3"/>
    </row>
    <row r="13" spans="1:23">
      <c r="A13" s="2">
        <v>8</v>
      </c>
      <c r="B13" s="3" t="s">
        <v>86</v>
      </c>
      <c r="C13" s="3" t="s">
        <v>401</v>
      </c>
      <c r="D13" s="4" t="s">
        <v>389</v>
      </c>
      <c r="E13" s="3" t="s">
        <v>402</v>
      </c>
      <c r="F13" s="37">
        <v>5</v>
      </c>
      <c r="G13" s="17">
        <f>(3.8+5+5)/3</f>
        <v>4.6000000000000005</v>
      </c>
      <c r="H13" s="17">
        <v>5</v>
      </c>
      <c r="I13" s="17">
        <f t="shared" si="0"/>
        <v>4.8000000000000007</v>
      </c>
      <c r="J13" s="3">
        <f>(4.5+5+5+5+5)/5</f>
        <v>4.9000000000000004</v>
      </c>
      <c r="K13" s="3"/>
      <c r="L13" s="3">
        <v>1</v>
      </c>
      <c r="M13" s="3">
        <v>1</v>
      </c>
      <c r="N13" s="37">
        <v>2.8</v>
      </c>
      <c r="O13" s="17">
        <v>1</v>
      </c>
      <c r="P13" s="3" t="s">
        <v>38</v>
      </c>
      <c r="Q13" s="3">
        <v>5</v>
      </c>
      <c r="R13" s="17">
        <v>4</v>
      </c>
      <c r="S13" s="17"/>
      <c r="T13" s="3"/>
    </row>
    <row r="14" spans="1:23">
      <c r="A14" s="2">
        <v>9</v>
      </c>
      <c r="B14" s="3" t="s">
        <v>59</v>
      </c>
      <c r="C14" s="3" t="s">
        <v>403</v>
      </c>
      <c r="D14" s="4" t="s">
        <v>394</v>
      </c>
      <c r="E14" s="3" t="s">
        <v>404</v>
      </c>
      <c r="F14" s="37">
        <v>5</v>
      </c>
      <c r="G14" s="17">
        <f>(3.2+3.2+5)/3</f>
        <v>3.8000000000000003</v>
      </c>
      <c r="H14" s="17">
        <v>5</v>
      </c>
      <c r="I14" s="17">
        <f t="shared" si="0"/>
        <v>4.4000000000000004</v>
      </c>
      <c r="J14" s="3">
        <f>(4.5+4.5+4.5+5+1)/5</f>
        <v>3.9</v>
      </c>
      <c r="K14" s="3"/>
      <c r="L14" s="3">
        <v>1</v>
      </c>
      <c r="M14" s="3">
        <v>1</v>
      </c>
      <c r="N14" s="37">
        <v>2</v>
      </c>
      <c r="O14" s="17">
        <v>1</v>
      </c>
      <c r="P14" s="3" t="s">
        <v>38</v>
      </c>
      <c r="Q14" s="3">
        <v>5</v>
      </c>
      <c r="R14" s="17">
        <v>4</v>
      </c>
      <c r="S14" s="17"/>
      <c r="T14" s="3"/>
    </row>
    <row r="15" spans="1:23">
      <c r="A15" s="2">
        <v>10</v>
      </c>
      <c r="B15" s="3" t="s">
        <v>214</v>
      </c>
      <c r="C15" s="3" t="s">
        <v>405</v>
      </c>
      <c r="D15" s="4" t="s">
        <v>389</v>
      </c>
      <c r="E15" s="3" t="s">
        <v>38</v>
      </c>
      <c r="F15" s="37">
        <v>5</v>
      </c>
      <c r="G15" s="17">
        <f>(4.5+5+5)/3</f>
        <v>4.833333333333333</v>
      </c>
      <c r="H15" s="17">
        <v>5</v>
      </c>
      <c r="I15" s="17">
        <f t="shared" si="0"/>
        <v>4.9166666666666661</v>
      </c>
      <c r="J15" s="3">
        <f>(4+4.5+5+5+5)/5</f>
        <v>4.7</v>
      </c>
      <c r="K15" s="3"/>
      <c r="L15" s="3">
        <v>1</v>
      </c>
      <c r="M15" s="3">
        <v>1</v>
      </c>
      <c r="N15" s="37">
        <v>4.5999999999999996</v>
      </c>
      <c r="O15" s="3">
        <v>4.8</v>
      </c>
      <c r="P15" s="22" t="s">
        <v>38</v>
      </c>
      <c r="Q15" s="3">
        <v>5</v>
      </c>
      <c r="R15" s="17">
        <v>4</v>
      </c>
      <c r="S15" s="17"/>
      <c r="T15" s="3"/>
    </row>
    <row r="16" spans="1:23">
      <c r="A16" s="2">
        <v>11</v>
      </c>
      <c r="B16" s="3" t="s">
        <v>406</v>
      </c>
      <c r="C16" s="3" t="s">
        <v>407</v>
      </c>
      <c r="D16" s="4" t="s">
        <v>389</v>
      </c>
      <c r="E16" s="3" t="s">
        <v>402</v>
      </c>
      <c r="F16" s="37">
        <v>5</v>
      </c>
      <c r="G16" s="17">
        <f>(1.5+5+3.2)/3</f>
        <v>3.2333333333333329</v>
      </c>
      <c r="H16" s="17">
        <v>4</v>
      </c>
      <c r="I16" s="17">
        <f t="shared" si="0"/>
        <v>3.6166666666666663</v>
      </c>
      <c r="J16" s="3">
        <f>(3.5+3.5+5+5+1)/5</f>
        <v>3.6</v>
      </c>
      <c r="K16" s="3"/>
      <c r="L16" s="3">
        <v>2</v>
      </c>
      <c r="M16" s="3">
        <v>4</v>
      </c>
      <c r="N16" s="37">
        <v>1</v>
      </c>
      <c r="O16" s="17">
        <v>1</v>
      </c>
      <c r="P16" s="3" t="s">
        <v>38</v>
      </c>
      <c r="Q16" s="3">
        <v>5</v>
      </c>
      <c r="R16" s="17">
        <v>4</v>
      </c>
      <c r="S16" s="17"/>
      <c r="T16" s="3"/>
    </row>
    <row r="17" spans="1:20">
      <c r="A17" s="2">
        <v>12</v>
      </c>
      <c r="B17" s="3" t="s">
        <v>408</v>
      </c>
      <c r="C17" s="3" t="s">
        <v>409</v>
      </c>
      <c r="D17" s="4" t="s">
        <v>389</v>
      </c>
      <c r="E17" s="3" t="s">
        <v>410</v>
      </c>
      <c r="F17" s="37">
        <v>5</v>
      </c>
      <c r="G17" s="17">
        <f>(3.2+5+5)/3</f>
        <v>4.3999999999999995</v>
      </c>
      <c r="H17" s="17">
        <v>4.5</v>
      </c>
      <c r="I17" s="17">
        <f t="shared" si="0"/>
        <v>4.4499999999999993</v>
      </c>
      <c r="J17" s="3">
        <f>(5+5+5+5+5)/5</f>
        <v>5</v>
      </c>
      <c r="K17" s="3"/>
      <c r="L17" s="3">
        <v>2.5</v>
      </c>
      <c r="M17" s="3">
        <v>2.5</v>
      </c>
      <c r="N17" s="37">
        <v>2.8</v>
      </c>
      <c r="O17" s="3">
        <v>4.5</v>
      </c>
      <c r="P17" s="22" t="s">
        <v>38</v>
      </c>
      <c r="Q17" s="3">
        <v>5</v>
      </c>
      <c r="R17" s="17">
        <v>4</v>
      </c>
      <c r="S17" s="17"/>
      <c r="T17" s="3"/>
    </row>
    <row r="18" spans="1:20">
      <c r="A18" s="2">
        <v>13</v>
      </c>
      <c r="B18" s="3" t="s">
        <v>227</v>
      </c>
      <c r="C18" s="3" t="s">
        <v>411</v>
      </c>
      <c r="D18" s="4" t="s">
        <v>394</v>
      </c>
      <c r="E18" s="3" t="s">
        <v>42</v>
      </c>
      <c r="F18" s="37">
        <v>4</v>
      </c>
      <c r="G18" s="3">
        <v>1</v>
      </c>
      <c r="H18" s="17">
        <v>1</v>
      </c>
      <c r="I18" s="17">
        <f t="shared" si="0"/>
        <v>1</v>
      </c>
      <c r="J18" s="3">
        <f>(5+5+5+5+1)/5</f>
        <v>4.2</v>
      </c>
      <c r="K18" s="3"/>
      <c r="L18" s="3">
        <v>1</v>
      </c>
      <c r="M18" s="3">
        <v>1</v>
      </c>
      <c r="N18" s="37">
        <v>2.5</v>
      </c>
      <c r="O18" s="17">
        <v>1</v>
      </c>
      <c r="P18" s="22"/>
      <c r="Q18" s="3"/>
      <c r="R18" s="17">
        <v>3.2</v>
      </c>
      <c r="S18" s="17"/>
      <c r="T18" s="3"/>
    </row>
    <row r="19" spans="1:20">
      <c r="A19" s="2">
        <v>14</v>
      </c>
      <c r="B19" s="3" t="s">
        <v>412</v>
      </c>
      <c r="C19" s="3" t="s">
        <v>413</v>
      </c>
      <c r="D19" s="4" t="s">
        <v>394</v>
      </c>
      <c r="E19" s="3" t="s">
        <v>414</v>
      </c>
      <c r="F19" s="37">
        <v>5</v>
      </c>
      <c r="G19" s="17">
        <f>(5+5+5)/3</f>
        <v>5</v>
      </c>
      <c r="H19" s="17">
        <v>5</v>
      </c>
      <c r="I19" s="17">
        <f t="shared" si="0"/>
        <v>5</v>
      </c>
      <c r="J19" s="3">
        <f>(4+4+5+5+5)/5</f>
        <v>4.5999999999999996</v>
      </c>
      <c r="K19" s="3"/>
      <c r="L19" s="3">
        <v>5</v>
      </c>
      <c r="M19" s="17">
        <v>3.8</v>
      </c>
      <c r="N19" s="37">
        <v>2.6</v>
      </c>
      <c r="O19" s="3">
        <v>2.6</v>
      </c>
      <c r="P19" s="3" t="s">
        <v>220</v>
      </c>
      <c r="Q19" s="3">
        <v>10</v>
      </c>
      <c r="R19" s="17">
        <v>5</v>
      </c>
      <c r="S19" s="17"/>
      <c r="T19" s="3"/>
    </row>
    <row r="20" spans="1:20">
      <c r="A20" s="2">
        <v>15</v>
      </c>
      <c r="B20" s="3" t="s">
        <v>415</v>
      </c>
      <c r="C20" s="3" t="s">
        <v>416</v>
      </c>
      <c r="D20" s="4" t="s">
        <v>389</v>
      </c>
      <c r="E20" s="3" t="s">
        <v>417</v>
      </c>
      <c r="F20" s="37">
        <v>3.5</v>
      </c>
      <c r="G20" s="17">
        <f>(4.5+3.2+3.4)/3</f>
        <v>3.6999999999999997</v>
      </c>
      <c r="H20" s="17">
        <v>5</v>
      </c>
      <c r="I20" s="17">
        <f t="shared" si="0"/>
        <v>4.3499999999999996</v>
      </c>
      <c r="J20" s="3">
        <f>(5+5+5+5+1)/5</f>
        <v>4.2</v>
      </c>
      <c r="K20" s="3"/>
      <c r="L20" s="3">
        <v>4.5</v>
      </c>
      <c r="M20" s="3">
        <v>3.8</v>
      </c>
      <c r="N20" s="37">
        <v>2.2999999999999998</v>
      </c>
      <c r="O20" s="3">
        <v>4</v>
      </c>
      <c r="P20" s="22" t="s">
        <v>38</v>
      </c>
      <c r="Q20" s="3">
        <v>5</v>
      </c>
      <c r="R20" s="17">
        <v>4</v>
      </c>
      <c r="S20" s="17"/>
      <c r="T20" s="3"/>
    </row>
    <row r="21" spans="1:20">
      <c r="A21" s="2">
        <v>16</v>
      </c>
      <c r="B21" s="3" t="s">
        <v>418</v>
      </c>
      <c r="C21" s="3" t="s">
        <v>419</v>
      </c>
      <c r="D21" s="4" t="s">
        <v>389</v>
      </c>
      <c r="E21" s="3" t="s">
        <v>420</v>
      </c>
      <c r="F21" s="37">
        <v>5</v>
      </c>
      <c r="G21" s="17">
        <f>(3.8+5+5)/3</f>
        <v>4.6000000000000005</v>
      </c>
      <c r="H21" s="17">
        <v>5</v>
      </c>
      <c r="I21" s="17">
        <f t="shared" si="0"/>
        <v>4.8000000000000007</v>
      </c>
      <c r="J21" s="3">
        <f>(4+4.5+5+5+5)/5</f>
        <v>4.7</v>
      </c>
      <c r="K21" s="3"/>
      <c r="L21" s="3">
        <v>1</v>
      </c>
      <c r="M21" s="3">
        <v>1</v>
      </c>
      <c r="N21" s="37">
        <v>2.7</v>
      </c>
      <c r="O21" s="17">
        <v>1</v>
      </c>
      <c r="P21" s="22" t="s">
        <v>38</v>
      </c>
      <c r="Q21" s="3">
        <v>5</v>
      </c>
      <c r="R21" s="17">
        <v>4</v>
      </c>
      <c r="S21" s="17"/>
      <c r="T21" s="3"/>
    </row>
    <row r="22" spans="1:20">
      <c r="A22" s="2">
        <v>17</v>
      </c>
      <c r="B22" s="3" t="s">
        <v>421</v>
      </c>
      <c r="C22" s="3" t="s">
        <v>422</v>
      </c>
      <c r="D22" s="4" t="s">
        <v>394</v>
      </c>
      <c r="E22" s="3" t="s">
        <v>38</v>
      </c>
      <c r="F22" s="37">
        <v>5</v>
      </c>
      <c r="G22" s="17">
        <f>(3.8+5+5)/3</f>
        <v>4.6000000000000005</v>
      </c>
      <c r="H22" s="17">
        <v>5</v>
      </c>
      <c r="I22" s="17">
        <f t="shared" si="0"/>
        <v>4.8000000000000007</v>
      </c>
      <c r="J22" s="3">
        <f>(4.5+5+5+5+5)/5</f>
        <v>4.9000000000000004</v>
      </c>
      <c r="K22" s="3"/>
      <c r="L22" s="3">
        <v>5</v>
      </c>
      <c r="M22" s="3">
        <v>5</v>
      </c>
      <c r="N22" s="37">
        <v>3.2</v>
      </c>
      <c r="O22" s="17">
        <v>2.6</v>
      </c>
      <c r="P22" s="3" t="s">
        <v>220</v>
      </c>
      <c r="Q22" s="3">
        <v>10</v>
      </c>
      <c r="R22" s="17">
        <v>5</v>
      </c>
      <c r="S22" s="17"/>
      <c r="T22" s="3"/>
    </row>
    <row r="23" spans="1:20">
      <c r="A23" s="2">
        <v>18</v>
      </c>
      <c r="B23" s="3" t="s">
        <v>423</v>
      </c>
      <c r="C23" s="3" t="s">
        <v>424</v>
      </c>
      <c r="D23" s="4" t="s">
        <v>394</v>
      </c>
      <c r="E23" s="3" t="s">
        <v>42</v>
      </c>
      <c r="F23" s="37">
        <v>4</v>
      </c>
      <c r="G23" s="17">
        <f>(5+4+5)/3</f>
        <v>4.666666666666667</v>
      </c>
      <c r="H23" s="17">
        <v>5</v>
      </c>
      <c r="I23" s="17">
        <f t="shared" si="0"/>
        <v>4.8333333333333339</v>
      </c>
      <c r="J23" s="3">
        <f>(5+5+5+5+1)/5</f>
        <v>4.2</v>
      </c>
      <c r="K23" s="3"/>
      <c r="L23" s="3">
        <v>3.5</v>
      </c>
      <c r="M23" s="3">
        <v>5</v>
      </c>
      <c r="N23" s="37">
        <v>4.3</v>
      </c>
      <c r="O23" s="3">
        <v>4.3</v>
      </c>
      <c r="P23" s="22" t="s">
        <v>38</v>
      </c>
      <c r="Q23" s="3">
        <v>5</v>
      </c>
      <c r="R23" s="17">
        <v>4</v>
      </c>
      <c r="S23" s="17"/>
      <c r="T23" s="3"/>
    </row>
    <row r="24" spans="1:20">
      <c r="A24" s="2">
        <v>19</v>
      </c>
      <c r="B24" s="3" t="s">
        <v>93</v>
      </c>
      <c r="C24" s="3" t="s">
        <v>425</v>
      </c>
      <c r="D24" s="4" t="s">
        <v>394</v>
      </c>
      <c r="E24" s="3" t="s">
        <v>426</v>
      </c>
      <c r="F24" s="37">
        <v>5</v>
      </c>
      <c r="G24" s="17">
        <f>(2.5+4+3.5)/3</f>
        <v>3.3333333333333335</v>
      </c>
      <c r="H24" s="17">
        <v>1</v>
      </c>
      <c r="I24" s="17">
        <f t="shared" si="0"/>
        <v>2.166666666666667</v>
      </c>
      <c r="J24" s="3">
        <f>(4+5+5+5+1)/5</f>
        <v>4</v>
      </c>
      <c r="K24" s="3"/>
      <c r="L24" s="3">
        <v>1</v>
      </c>
      <c r="M24" s="3">
        <v>1</v>
      </c>
      <c r="N24" s="37">
        <v>1</v>
      </c>
      <c r="O24" s="17">
        <v>1</v>
      </c>
      <c r="P24" s="22"/>
      <c r="Q24" s="3"/>
      <c r="R24" s="17">
        <v>3.2</v>
      </c>
      <c r="S24" s="17"/>
      <c r="T24" s="3"/>
    </row>
    <row r="25" spans="1:20">
      <c r="A25" s="2">
        <v>20</v>
      </c>
      <c r="B25" s="3" t="s">
        <v>93</v>
      </c>
      <c r="C25" s="3" t="s">
        <v>427</v>
      </c>
      <c r="D25" s="4" t="s">
        <v>389</v>
      </c>
      <c r="E25" s="3" t="s">
        <v>38</v>
      </c>
      <c r="F25" s="37">
        <v>5</v>
      </c>
      <c r="G25" s="17">
        <f>(3.8+3.5+3.2)/3</f>
        <v>3.5</v>
      </c>
      <c r="H25" s="17">
        <v>5</v>
      </c>
      <c r="I25" s="17">
        <f t="shared" si="0"/>
        <v>4.25</v>
      </c>
      <c r="J25" s="3">
        <f>(5+5+5+5+5)/5</f>
        <v>5</v>
      </c>
      <c r="K25" s="3"/>
      <c r="L25" s="3">
        <v>4</v>
      </c>
      <c r="M25" s="3">
        <v>4</v>
      </c>
      <c r="N25" s="37">
        <v>3.7</v>
      </c>
      <c r="O25" s="3">
        <v>3.6</v>
      </c>
      <c r="P25" s="22" t="s">
        <v>38</v>
      </c>
      <c r="Q25" s="3">
        <v>5</v>
      </c>
      <c r="R25" s="17">
        <v>4</v>
      </c>
      <c r="S25" s="17"/>
      <c r="T25" s="3"/>
    </row>
    <row r="26" spans="1:20">
      <c r="A26" s="2">
        <v>21</v>
      </c>
      <c r="B26" s="3" t="s">
        <v>346</v>
      </c>
      <c r="C26" s="3" t="s">
        <v>256</v>
      </c>
      <c r="D26" s="4" t="s">
        <v>389</v>
      </c>
      <c r="E26" s="3" t="s">
        <v>417</v>
      </c>
      <c r="F26" s="37">
        <v>3.5</v>
      </c>
      <c r="G26" s="17">
        <f>(5+5+5)/3</f>
        <v>5</v>
      </c>
      <c r="H26" s="17">
        <v>5</v>
      </c>
      <c r="I26" s="17">
        <f t="shared" si="0"/>
        <v>5</v>
      </c>
      <c r="J26" s="3">
        <f>(3.5+4+5+5+5)/5</f>
        <v>4.5</v>
      </c>
      <c r="K26" s="3"/>
      <c r="L26" s="3">
        <v>1</v>
      </c>
      <c r="M26" s="3">
        <v>1</v>
      </c>
      <c r="N26" s="37">
        <v>2</v>
      </c>
      <c r="O26" s="17">
        <v>4.5999999999999996</v>
      </c>
      <c r="P26" s="3" t="s">
        <v>38</v>
      </c>
      <c r="Q26" s="3">
        <v>5</v>
      </c>
      <c r="R26" s="17">
        <v>4</v>
      </c>
      <c r="S26" s="17"/>
      <c r="T26" s="3"/>
    </row>
    <row r="27" spans="1:20">
      <c r="A27" s="2">
        <v>22</v>
      </c>
      <c r="B27" s="3" t="s">
        <v>428</v>
      </c>
      <c r="C27" s="3" t="s">
        <v>429</v>
      </c>
      <c r="D27" s="4" t="s">
        <v>389</v>
      </c>
      <c r="E27" s="3" t="s">
        <v>38</v>
      </c>
      <c r="F27" s="37">
        <v>5</v>
      </c>
      <c r="G27" s="17">
        <f>(4.5+5+5)/3</f>
        <v>4.833333333333333</v>
      </c>
      <c r="H27" s="17">
        <v>5</v>
      </c>
      <c r="I27" s="17">
        <f t="shared" si="0"/>
        <v>4.9166666666666661</v>
      </c>
      <c r="J27" s="3">
        <f>(4+5+5+5+5)/5</f>
        <v>4.8</v>
      </c>
      <c r="K27" s="3"/>
      <c r="L27" s="3">
        <v>5</v>
      </c>
      <c r="M27" s="3">
        <v>5</v>
      </c>
      <c r="N27" s="37">
        <v>4.0999999999999996</v>
      </c>
      <c r="O27" s="3">
        <v>4.8</v>
      </c>
      <c r="P27" s="3" t="s">
        <v>38</v>
      </c>
      <c r="Q27" s="3">
        <v>5</v>
      </c>
      <c r="R27" s="17">
        <v>4</v>
      </c>
      <c r="S27" s="17"/>
      <c r="T27" s="3"/>
    </row>
    <row r="28" spans="1:20">
      <c r="A28" s="2">
        <v>23</v>
      </c>
      <c r="B28" s="3" t="s">
        <v>430</v>
      </c>
      <c r="C28" s="3" t="s">
        <v>263</v>
      </c>
      <c r="D28" s="4" t="s">
        <v>394</v>
      </c>
      <c r="E28" s="3" t="s">
        <v>398</v>
      </c>
      <c r="F28" s="37">
        <v>4.5</v>
      </c>
      <c r="G28" s="17">
        <f>(5+5+5)/3</f>
        <v>5</v>
      </c>
      <c r="H28" s="17">
        <v>5</v>
      </c>
      <c r="I28" s="17">
        <f t="shared" si="0"/>
        <v>5</v>
      </c>
      <c r="J28" s="3">
        <f>(4.5+4+5+5+1)/5</f>
        <v>3.9</v>
      </c>
      <c r="K28" s="3"/>
      <c r="L28" s="3">
        <v>1</v>
      </c>
      <c r="M28" s="3">
        <v>1</v>
      </c>
      <c r="N28" s="37">
        <v>4.8</v>
      </c>
      <c r="O28" s="3">
        <v>2.8</v>
      </c>
      <c r="P28" s="22" t="s">
        <v>38</v>
      </c>
      <c r="Q28" s="3">
        <v>5</v>
      </c>
      <c r="R28" s="17">
        <v>4</v>
      </c>
      <c r="S28" s="17"/>
      <c r="T28" s="3"/>
    </row>
    <row r="29" spans="1:20">
      <c r="A29" s="2">
        <v>24</v>
      </c>
      <c r="B29" s="3" t="s">
        <v>431</v>
      </c>
      <c r="C29" s="3" t="s">
        <v>432</v>
      </c>
      <c r="D29" s="4" t="s">
        <v>389</v>
      </c>
      <c r="E29" s="3"/>
      <c r="F29" s="37">
        <v>3.2</v>
      </c>
      <c r="G29" s="17">
        <f>(2+5+5)/3</f>
        <v>4</v>
      </c>
      <c r="H29" s="17">
        <v>5</v>
      </c>
      <c r="I29" s="17">
        <f t="shared" si="0"/>
        <v>4.5</v>
      </c>
      <c r="J29" s="3">
        <f>(3.5+3.5+5+5+5)/5</f>
        <v>4.4000000000000004</v>
      </c>
      <c r="K29" s="3"/>
      <c r="L29" s="45">
        <v>3.5</v>
      </c>
      <c r="M29" s="45">
        <v>3.2</v>
      </c>
      <c r="N29" s="37">
        <v>3.5</v>
      </c>
      <c r="O29" s="17">
        <v>1</v>
      </c>
      <c r="P29" s="22" t="s">
        <v>38</v>
      </c>
      <c r="Q29" s="3">
        <v>5</v>
      </c>
      <c r="R29" s="17">
        <v>4</v>
      </c>
      <c r="S29" s="17"/>
      <c r="T29" s="3"/>
    </row>
    <row r="30" spans="1:20">
      <c r="A30" s="2">
        <v>25</v>
      </c>
      <c r="B30" s="3" t="s">
        <v>433</v>
      </c>
      <c r="C30" s="3" t="s">
        <v>434</v>
      </c>
      <c r="D30" s="4" t="s">
        <v>394</v>
      </c>
      <c r="E30" s="3" t="s">
        <v>435</v>
      </c>
      <c r="F30" s="37">
        <v>5</v>
      </c>
      <c r="G30" s="17">
        <f>(2+2.5+5)/3</f>
        <v>3.1666666666666665</v>
      </c>
      <c r="H30" s="17">
        <v>1</v>
      </c>
      <c r="I30" s="17">
        <f t="shared" si="0"/>
        <v>2.083333333333333</v>
      </c>
      <c r="J30" s="3">
        <f>(4+4.5+4.5+5+1)/5</f>
        <v>3.8</v>
      </c>
      <c r="K30" s="3"/>
      <c r="L30" s="3">
        <v>1</v>
      </c>
      <c r="M30" s="3">
        <v>1</v>
      </c>
      <c r="N30" s="37">
        <v>2.1</v>
      </c>
      <c r="O30" s="17">
        <v>1</v>
      </c>
      <c r="P30" s="22"/>
      <c r="Q30" s="3"/>
      <c r="R30" s="17">
        <v>3.2</v>
      </c>
      <c r="S30" s="17"/>
      <c r="T30" s="3"/>
    </row>
    <row r="31" spans="1:20">
      <c r="A31" s="2">
        <v>26</v>
      </c>
      <c r="B31" s="3" t="s">
        <v>436</v>
      </c>
      <c r="C31" s="3" t="s">
        <v>437</v>
      </c>
      <c r="D31" s="4" t="s">
        <v>394</v>
      </c>
      <c r="E31" s="3" t="s">
        <v>438</v>
      </c>
      <c r="F31" s="37">
        <v>5</v>
      </c>
      <c r="G31" s="17">
        <f>(5+5+5)/3</f>
        <v>5</v>
      </c>
      <c r="H31" s="17">
        <v>5</v>
      </c>
      <c r="I31" s="17">
        <f t="shared" si="0"/>
        <v>5</v>
      </c>
      <c r="J31" s="3">
        <f>(4+4+5+5+1)/5</f>
        <v>3.8</v>
      </c>
      <c r="K31" s="3"/>
      <c r="L31" s="3">
        <v>5</v>
      </c>
      <c r="M31" s="3">
        <v>5</v>
      </c>
      <c r="N31" s="37">
        <v>4.4000000000000004</v>
      </c>
      <c r="O31" s="3">
        <v>2.4</v>
      </c>
      <c r="P31" s="22" t="s">
        <v>38</v>
      </c>
      <c r="Q31" s="3">
        <v>5</v>
      </c>
      <c r="R31" s="17">
        <v>4</v>
      </c>
      <c r="S31" s="17"/>
      <c r="T31" s="3"/>
    </row>
    <row r="32" spans="1:20">
      <c r="A32" s="2">
        <v>27</v>
      </c>
      <c r="B32" s="3" t="s">
        <v>439</v>
      </c>
      <c r="C32" s="3" t="s">
        <v>94</v>
      </c>
      <c r="D32" s="4" t="s">
        <v>389</v>
      </c>
      <c r="E32" s="3" t="s">
        <v>398</v>
      </c>
      <c r="F32" s="37">
        <v>4.5</v>
      </c>
      <c r="G32" s="17">
        <f>(5+5+5)/3</f>
        <v>5</v>
      </c>
      <c r="H32" s="17">
        <v>5</v>
      </c>
      <c r="I32" s="17">
        <f t="shared" si="0"/>
        <v>5</v>
      </c>
      <c r="J32" s="3">
        <f>(4.5+4.5+5+5+5)/5</f>
        <v>4.8</v>
      </c>
      <c r="K32" s="3"/>
      <c r="L32" s="3">
        <v>4.5</v>
      </c>
      <c r="M32" s="3">
        <v>4.5</v>
      </c>
      <c r="N32" s="37">
        <v>4.9000000000000004</v>
      </c>
      <c r="O32" s="3">
        <v>4.9000000000000004</v>
      </c>
      <c r="P32" s="22" t="s">
        <v>38</v>
      </c>
      <c r="Q32" s="3">
        <v>5</v>
      </c>
      <c r="R32" s="17">
        <v>4</v>
      </c>
      <c r="S32" s="17"/>
      <c r="T32" s="3"/>
    </row>
    <row r="33" spans="1:20">
      <c r="A33" s="2"/>
      <c r="B33" s="3"/>
      <c r="C33" s="3"/>
      <c r="D33" s="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6" spans="1:20">
      <c r="B36" s="18" t="s">
        <v>188</v>
      </c>
    </row>
    <row r="38" spans="1:20">
      <c r="A38" s="1">
        <v>1</v>
      </c>
      <c r="B38" s="1" t="s">
        <v>387</v>
      </c>
      <c r="C38" s="1" t="s">
        <v>108</v>
      </c>
      <c r="D38" s="82">
        <v>44496</v>
      </c>
      <c r="E38" s="82"/>
      <c r="F38" s="82"/>
    </row>
    <row r="39" spans="1:20">
      <c r="B39" s="1" t="s">
        <v>440</v>
      </c>
    </row>
    <row r="40" spans="1:20">
      <c r="B40" s="1" t="s">
        <v>66</v>
      </c>
    </row>
    <row r="42" spans="1:20">
      <c r="A42" s="1">
        <v>2</v>
      </c>
      <c r="B42" s="1" t="s">
        <v>441</v>
      </c>
      <c r="C42" s="1" t="s">
        <v>442</v>
      </c>
      <c r="D42" s="82">
        <v>44497</v>
      </c>
      <c r="E42" s="82"/>
      <c r="F42" s="82"/>
    </row>
    <row r="43" spans="1:20">
      <c r="B43" s="1" t="s">
        <v>443</v>
      </c>
    </row>
    <row r="44" spans="1:20">
      <c r="B44" s="1" t="s">
        <v>444</v>
      </c>
    </row>
    <row r="46" spans="1:20">
      <c r="A46" s="1">
        <v>3</v>
      </c>
      <c r="B46" s="1" t="s">
        <v>445</v>
      </c>
      <c r="C46" s="1" t="s">
        <v>118</v>
      </c>
      <c r="D46" s="82">
        <v>44496</v>
      </c>
      <c r="E46" s="82"/>
      <c r="F46" s="82"/>
    </row>
    <row r="47" spans="1:20">
      <c r="B47" s="1" t="s">
        <v>446</v>
      </c>
    </row>
    <row r="48" spans="1:20">
      <c r="B48" s="1" t="s">
        <v>447</v>
      </c>
    </row>
    <row r="50" spans="1:6">
      <c r="A50" s="1">
        <v>4</v>
      </c>
      <c r="B50" s="1" t="s">
        <v>392</v>
      </c>
      <c r="C50" s="1" t="s">
        <v>98</v>
      </c>
      <c r="D50" s="82">
        <v>44496</v>
      </c>
      <c r="E50" s="82"/>
      <c r="F50" s="82"/>
    </row>
    <row r="51" spans="1:6">
      <c r="B51" s="1" t="s">
        <v>412</v>
      </c>
    </row>
    <row r="52" spans="1:6">
      <c r="B52" s="1" t="s">
        <v>448</v>
      </c>
    </row>
    <row r="54" spans="1:6">
      <c r="A54" s="1">
        <v>5</v>
      </c>
      <c r="B54" s="1" t="s">
        <v>449</v>
      </c>
      <c r="C54" s="1" t="s">
        <v>450</v>
      </c>
      <c r="D54" s="82">
        <v>44497</v>
      </c>
      <c r="E54" s="82"/>
      <c r="F54" s="82"/>
    </row>
    <row r="55" spans="1:6">
      <c r="B55" s="1" t="s">
        <v>451</v>
      </c>
    </row>
    <row r="56" spans="1:6">
      <c r="B56" s="1" t="s">
        <v>430</v>
      </c>
    </row>
    <row r="58" spans="1:6">
      <c r="A58" s="1">
        <v>6</v>
      </c>
      <c r="B58" s="1" t="s">
        <v>86</v>
      </c>
      <c r="C58" s="1" t="s">
        <v>114</v>
      </c>
      <c r="D58" s="82">
        <v>44496</v>
      </c>
      <c r="E58" s="82"/>
      <c r="F58" s="82"/>
    </row>
    <row r="59" spans="1:6">
      <c r="B59" s="1" t="s">
        <v>452</v>
      </c>
    </row>
    <row r="60" spans="1:6">
      <c r="B60" s="1" t="s">
        <v>453</v>
      </c>
    </row>
    <row r="62" spans="1:6">
      <c r="A62" s="1">
        <v>7</v>
      </c>
      <c r="B62" s="1" t="s">
        <v>454</v>
      </c>
      <c r="C62" s="1" t="s">
        <v>111</v>
      </c>
      <c r="D62" s="82">
        <v>44496</v>
      </c>
      <c r="E62" s="82"/>
      <c r="F62" s="82"/>
    </row>
    <row r="63" spans="1:6">
      <c r="B63" s="1" t="s">
        <v>455</v>
      </c>
    </row>
    <row r="64" spans="1:6">
      <c r="B64" s="1" t="s">
        <v>456</v>
      </c>
    </row>
    <row r="66" spans="1:6">
      <c r="A66" s="1">
        <v>8</v>
      </c>
      <c r="B66" s="1" t="s">
        <v>457</v>
      </c>
      <c r="C66" s="1" t="s">
        <v>206</v>
      </c>
      <c r="D66" s="82">
        <v>44497</v>
      </c>
      <c r="E66" s="82"/>
      <c r="F66" s="82"/>
    </row>
    <row r="67" spans="1:6">
      <c r="B67" s="1" t="s">
        <v>458</v>
      </c>
    </row>
    <row r="68" spans="1:6">
      <c r="B68" s="1" t="s">
        <v>459</v>
      </c>
    </row>
    <row r="70" spans="1:6">
      <c r="A70" s="1">
        <v>9</v>
      </c>
      <c r="B70" s="1" t="s">
        <v>214</v>
      </c>
      <c r="C70" s="1" t="s">
        <v>293</v>
      </c>
      <c r="D70" s="82">
        <v>44497</v>
      </c>
      <c r="E70" s="82"/>
      <c r="F70" s="82"/>
    </row>
    <row r="71" spans="1:6">
      <c r="B71" s="1" t="s">
        <v>460</v>
      </c>
    </row>
    <row r="72" spans="1:6">
      <c r="B72" s="1" t="s">
        <v>461</v>
      </c>
    </row>
  </sheetData>
  <mergeCells count="18">
    <mergeCell ref="D62:F62"/>
    <mergeCell ref="D70:F70"/>
    <mergeCell ref="D66:F66"/>
    <mergeCell ref="D58:F58"/>
    <mergeCell ref="D38:F38"/>
    <mergeCell ref="D46:F46"/>
    <mergeCell ref="D50:F50"/>
    <mergeCell ref="D54:F54"/>
    <mergeCell ref="D42:F42"/>
    <mergeCell ref="B2:T2"/>
    <mergeCell ref="B4:B5"/>
    <mergeCell ref="C4:C5"/>
    <mergeCell ref="D4:D5"/>
    <mergeCell ref="E4:K4"/>
    <mergeCell ref="L4:O4"/>
    <mergeCell ref="P4:T4"/>
    <mergeCell ref="K3:L3"/>
    <mergeCell ref="M3:N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A63"/>
  <sheetViews>
    <sheetView zoomScale="130" zoomScaleNormal="130" workbookViewId="0">
      <pane xSplit="4" ySplit="5" topLeftCell="G21" activePane="bottomRight" state="frozen"/>
      <selection pane="bottomRight" activeCell="J26" sqref="J26"/>
      <selection pane="bottomLeft" activeCell="A6" sqref="A6"/>
      <selection pane="topRight" activeCell="F1" sqref="F1"/>
    </sheetView>
  </sheetViews>
  <sheetFormatPr defaultColWidth="11.42578125" defaultRowHeight="16.5"/>
  <cols>
    <col min="1" max="1" width="3.5703125" style="1" customWidth="1"/>
    <col min="2" max="2" width="18.42578125" style="1" customWidth="1"/>
    <col min="3" max="3" width="22.85546875" style="1" customWidth="1"/>
    <col min="4" max="4" width="5" style="2" customWidth="1"/>
    <col min="5" max="6" width="6.42578125" style="1" hidden="1" customWidth="1"/>
    <col min="7" max="11" width="6.42578125" style="1" customWidth="1"/>
    <col min="12" max="15" width="6.140625" style="1" customWidth="1"/>
    <col min="16" max="16" width="7.42578125" style="1" customWidth="1"/>
    <col min="17" max="17" width="7.140625" style="1" hidden="1" customWidth="1"/>
    <col min="18" max="18" width="7.7109375" style="1" hidden="1" customWidth="1"/>
    <col min="19" max="19" width="6" style="1" customWidth="1"/>
    <col min="20" max="20" width="7.140625" style="1" customWidth="1"/>
    <col min="21" max="22" width="6" style="1" customWidth="1"/>
    <col min="23" max="23" width="8.85546875" style="1" customWidth="1"/>
    <col min="24" max="24" width="3" style="19" customWidth="1"/>
    <col min="25" max="25" width="1.140625" style="1" customWidth="1"/>
    <col min="26" max="26" width="3.140625" style="1" customWidth="1"/>
    <col min="27" max="16384" width="11.42578125" style="1"/>
  </cols>
  <sheetData>
    <row r="2" spans="1:27">
      <c r="B2" s="68" t="s">
        <v>0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</row>
    <row r="3" spans="1:27" ht="15" customHeight="1">
      <c r="B3" s="7" t="s">
        <v>1</v>
      </c>
      <c r="C3" s="6" t="s">
        <v>2</v>
      </c>
      <c r="D3" s="6"/>
      <c r="E3" s="11"/>
      <c r="F3" s="11"/>
      <c r="G3" s="11"/>
      <c r="H3" s="11"/>
      <c r="I3" s="11"/>
      <c r="J3" s="11"/>
      <c r="K3" s="80" t="s">
        <v>3</v>
      </c>
      <c r="L3" s="80"/>
      <c r="M3" s="80" t="s">
        <v>4</v>
      </c>
      <c r="N3" s="80"/>
      <c r="O3" s="80"/>
      <c r="P3" s="11" t="s">
        <v>5</v>
      </c>
      <c r="Q3" s="14" t="s">
        <v>462</v>
      </c>
      <c r="R3" s="14"/>
      <c r="S3" s="11"/>
      <c r="T3" s="8" t="s">
        <v>7</v>
      </c>
      <c r="U3" s="8"/>
      <c r="V3" s="8"/>
      <c r="W3" s="8" t="s">
        <v>8</v>
      </c>
    </row>
    <row r="4" spans="1:27" s="2" customFormat="1" ht="15" customHeight="1">
      <c r="B4" s="70" t="s">
        <v>9</v>
      </c>
      <c r="C4" s="70" t="s">
        <v>10</v>
      </c>
      <c r="D4" s="72" t="s">
        <v>11</v>
      </c>
      <c r="E4" s="74" t="s">
        <v>12</v>
      </c>
      <c r="F4" s="75"/>
      <c r="G4" s="75"/>
      <c r="H4" s="75"/>
      <c r="I4" s="75"/>
      <c r="J4" s="75"/>
      <c r="K4" s="76"/>
      <c r="L4" s="77" t="s">
        <v>13</v>
      </c>
      <c r="M4" s="78"/>
      <c r="N4" s="78"/>
      <c r="O4" s="78"/>
      <c r="P4" s="79"/>
      <c r="Q4" s="77" t="s">
        <v>14</v>
      </c>
      <c r="R4" s="78"/>
      <c r="S4" s="78"/>
      <c r="T4" s="78"/>
      <c r="U4" s="78"/>
      <c r="V4" s="78"/>
      <c r="W4" s="79"/>
      <c r="X4" s="20"/>
    </row>
    <row r="5" spans="1:27" ht="28.5" customHeight="1">
      <c r="A5" s="2"/>
      <c r="B5" s="71"/>
      <c r="C5" s="71"/>
      <c r="D5" s="73"/>
      <c r="E5" s="12" t="s">
        <v>463</v>
      </c>
      <c r="F5" s="12" t="s">
        <v>16</v>
      </c>
      <c r="G5" s="12" t="s">
        <v>306</v>
      </c>
      <c r="H5" s="12" t="s">
        <v>123</v>
      </c>
      <c r="I5" s="12"/>
      <c r="J5" s="13" t="s">
        <v>21</v>
      </c>
      <c r="K5" s="13" t="s">
        <v>22</v>
      </c>
      <c r="L5" s="12" t="s">
        <v>464</v>
      </c>
      <c r="M5" s="12" t="s">
        <v>465</v>
      </c>
      <c r="N5" s="12"/>
      <c r="O5" s="12" t="s">
        <v>26</v>
      </c>
      <c r="P5" s="12" t="s">
        <v>27</v>
      </c>
      <c r="Q5" s="12" t="s">
        <v>466</v>
      </c>
      <c r="R5" s="12" t="s">
        <v>30</v>
      </c>
      <c r="S5" s="12" t="s">
        <v>127</v>
      </c>
      <c r="T5" s="12"/>
      <c r="U5" s="12"/>
      <c r="V5" s="12"/>
      <c r="W5" s="12" t="s">
        <v>32</v>
      </c>
      <c r="X5" s="21"/>
    </row>
    <row r="6" spans="1:27" ht="14.25" customHeight="1">
      <c r="A6" s="2">
        <v>1</v>
      </c>
      <c r="B6" s="3" t="s">
        <v>467</v>
      </c>
      <c r="C6" s="3" t="s">
        <v>468</v>
      </c>
      <c r="D6" s="4" t="s">
        <v>469</v>
      </c>
      <c r="E6" s="3" t="s">
        <v>38</v>
      </c>
      <c r="F6" s="3"/>
      <c r="G6" s="3">
        <v>5</v>
      </c>
      <c r="H6" s="3">
        <v>3.2</v>
      </c>
      <c r="I6" s="3"/>
      <c r="J6" s="3">
        <f>(3.5+3.5+3.5+5+5)/5</f>
        <v>4.0999999999999996</v>
      </c>
      <c r="K6" s="3"/>
      <c r="L6" s="45">
        <v>3.5</v>
      </c>
      <c r="M6" s="45">
        <v>3.5</v>
      </c>
      <c r="N6" s="3"/>
      <c r="O6" s="3"/>
      <c r="P6" s="3">
        <v>4.4000000000000004</v>
      </c>
      <c r="Q6" s="3"/>
      <c r="R6" s="3"/>
      <c r="S6" s="37">
        <v>3.2</v>
      </c>
      <c r="T6" s="3"/>
      <c r="U6" s="17"/>
      <c r="V6" s="29"/>
      <c r="W6" s="3"/>
    </row>
    <row r="7" spans="1:27">
      <c r="A7" s="2">
        <v>2</v>
      </c>
      <c r="B7" s="3" t="s">
        <v>470</v>
      </c>
      <c r="C7" s="3" t="s">
        <v>471</v>
      </c>
      <c r="D7" s="5" t="s">
        <v>472</v>
      </c>
      <c r="E7" s="3" t="s">
        <v>38</v>
      </c>
      <c r="F7" s="3"/>
      <c r="G7" s="3">
        <v>5</v>
      </c>
      <c r="H7" s="3">
        <v>3.2</v>
      </c>
      <c r="I7" s="3"/>
      <c r="J7" s="3">
        <v>1</v>
      </c>
      <c r="K7" s="3"/>
      <c r="L7" s="3">
        <v>1</v>
      </c>
      <c r="M7" s="3">
        <v>1</v>
      </c>
      <c r="N7" s="3"/>
      <c r="O7" s="3"/>
      <c r="P7" s="17">
        <v>4.4000000000000004</v>
      </c>
      <c r="Q7" s="3"/>
      <c r="R7" s="3"/>
      <c r="S7" s="37">
        <v>3.2</v>
      </c>
      <c r="T7" s="3"/>
      <c r="U7" s="17"/>
      <c r="V7" s="17"/>
      <c r="W7" s="3"/>
      <c r="Z7" s="23"/>
      <c r="AA7" s="19" t="s">
        <v>44</v>
      </c>
    </row>
    <row r="8" spans="1:27">
      <c r="A8" s="2">
        <v>3</v>
      </c>
      <c r="B8" s="3" t="s">
        <v>473</v>
      </c>
      <c r="C8" s="3" t="s">
        <v>474</v>
      </c>
      <c r="D8" s="4" t="s">
        <v>469</v>
      </c>
      <c r="E8" s="3" t="s">
        <v>38</v>
      </c>
      <c r="F8" s="3" t="s">
        <v>72</v>
      </c>
      <c r="G8" s="17">
        <v>5</v>
      </c>
      <c r="H8" s="17">
        <v>4.5</v>
      </c>
      <c r="I8" s="3"/>
      <c r="J8" s="3">
        <f>(4+4.5+5+5+5)/5</f>
        <v>4.7</v>
      </c>
      <c r="K8" s="3">
        <v>5</v>
      </c>
      <c r="L8" s="3">
        <v>1</v>
      </c>
      <c r="M8" s="3">
        <v>1</v>
      </c>
      <c r="N8" s="3"/>
      <c r="O8" s="3">
        <v>5</v>
      </c>
      <c r="P8" s="17">
        <v>4.3</v>
      </c>
      <c r="Q8" s="22" t="s">
        <v>475</v>
      </c>
      <c r="R8" s="3">
        <v>3</v>
      </c>
      <c r="S8" s="37">
        <v>4.5</v>
      </c>
      <c r="T8" s="3"/>
      <c r="U8" s="17"/>
      <c r="V8" s="29"/>
      <c r="W8" s="3"/>
      <c r="Z8" s="26"/>
      <c r="AA8" s="19" t="s">
        <v>50</v>
      </c>
    </row>
    <row r="9" spans="1:27">
      <c r="A9" s="2">
        <v>4</v>
      </c>
      <c r="B9" s="3" t="s">
        <v>476</v>
      </c>
      <c r="C9" s="3" t="s">
        <v>477</v>
      </c>
      <c r="D9" s="4" t="s">
        <v>469</v>
      </c>
      <c r="E9" s="3" t="s">
        <v>38</v>
      </c>
      <c r="F9" s="3" t="s">
        <v>72</v>
      </c>
      <c r="G9" s="17">
        <v>5</v>
      </c>
      <c r="H9" s="17">
        <v>4.5</v>
      </c>
      <c r="I9" s="3"/>
      <c r="J9" s="3">
        <f>(4+5+5+5+5)/5</f>
        <v>4.8</v>
      </c>
      <c r="K9" s="3">
        <v>5</v>
      </c>
      <c r="L9" s="3">
        <v>1</v>
      </c>
      <c r="M9" s="3">
        <v>1</v>
      </c>
      <c r="N9" s="3"/>
      <c r="O9" s="3">
        <v>5</v>
      </c>
      <c r="P9" s="17">
        <v>4.4000000000000004</v>
      </c>
      <c r="Q9" s="22" t="s">
        <v>475</v>
      </c>
      <c r="R9" s="3">
        <v>3</v>
      </c>
      <c r="S9" s="37">
        <v>4.5</v>
      </c>
      <c r="T9" s="3"/>
      <c r="U9" s="17"/>
      <c r="V9" s="29"/>
      <c r="W9" s="3"/>
      <c r="Z9" s="27"/>
      <c r="AA9" s="19" t="s">
        <v>54</v>
      </c>
    </row>
    <row r="10" spans="1:27">
      <c r="A10" s="2">
        <v>5</v>
      </c>
      <c r="B10" s="3" t="s">
        <v>370</v>
      </c>
      <c r="C10" s="3" t="s">
        <v>478</v>
      </c>
      <c r="D10" s="5" t="s">
        <v>472</v>
      </c>
      <c r="E10" s="3" t="s">
        <v>38</v>
      </c>
      <c r="F10" s="3" t="s">
        <v>72</v>
      </c>
      <c r="G10" s="17">
        <v>5</v>
      </c>
      <c r="H10" s="17">
        <v>4.5</v>
      </c>
      <c r="I10" s="3"/>
      <c r="J10" s="3">
        <f>(4+4+5+4.5+1)/5</f>
        <v>3.7</v>
      </c>
      <c r="K10" s="3">
        <v>5</v>
      </c>
      <c r="L10" s="3">
        <v>1</v>
      </c>
      <c r="M10" s="3">
        <v>1</v>
      </c>
      <c r="N10" s="3"/>
      <c r="O10" s="3">
        <v>5</v>
      </c>
      <c r="P10" s="17">
        <v>4</v>
      </c>
      <c r="Q10" s="3" t="s">
        <v>479</v>
      </c>
      <c r="R10" s="3">
        <v>3</v>
      </c>
      <c r="S10" s="37">
        <v>4.5</v>
      </c>
      <c r="T10" s="3"/>
      <c r="U10" s="17"/>
      <c r="V10" s="29"/>
      <c r="W10" s="3"/>
      <c r="Z10" s="25"/>
      <c r="AA10" s="19" t="s">
        <v>58</v>
      </c>
    </row>
    <row r="11" spans="1:27">
      <c r="A11" s="2">
        <v>6</v>
      </c>
      <c r="B11" s="3" t="s">
        <v>480</v>
      </c>
      <c r="C11" s="3" t="s">
        <v>481</v>
      </c>
      <c r="D11" s="5" t="s">
        <v>472</v>
      </c>
      <c r="E11" s="3" t="s">
        <v>38</v>
      </c>
      <c r="F11" s="3" t="s">
        <v>72</v>
      </c>
      <c r="G11" s="17">
        <v>5</v>
      </c>
      <c r="H11" s="17">
        <v>4.5</v>
      </c>
      <c r="I11" s="3"/>
      <c r="J11" s="3">
        <f>(4+4.5+5+4.5+3.5)/5</f>
        <v>4.3</v>
      </c>
      <c r="K11" s="3">
        <v>4.2</v>
      </c>
      <c r="L11" s="3">
        <v>1</v>
      </c>
      <c r="M11" s="3">
        <v>1</v>
      </c>
      <c r="N11" s="3"/>
      <c r="O11" s="3">
        <v>4.2</v>
      </c>
      <c r="P11" s="17">
        <v>4.5</v>
      </c>
      <c r="Q11" s="22" t="s">
        <v>475</v>
      </c>
      <c r="R11" s="3">
        <v>3</v>
      </c>
      <c r="S11" s="37">
        <v>4.5</v>
      </c>
      <c r="T11" s="3"/>
      <c r="U11" s="17"/>
      <c r="V11" s="29"/>
      <c r="W11" s="3"/>
    </row>
    <row r="12" spans="1:27">
      <c r="A12" s="2">
        <v>7</v>
      </c>
      <c r="B12" s="3" t="s">
        <v>482</v>
      </c>
      <c r="C12" s="3" t="s">
        <v>483</v>
      </c>
      <c r="D12" s="4" t="s">
        <v>469</v>
      </c>
      <c r="E12" s="3" t="s">
        <v>38</v>
      </c>
      <c r="F12" s="3" t="s">
        <v>72</v>
      </c>
      <c r="G12" s="17">
        <v>5</v>
      </c>
      <c r="H12" s="17">
        <v>4.5</v>
      </c>
      <c r="I12" s="3"/>
      <c r="J12" s="3">
        <f>(4+3.5+5+5+5)/5</f>
        <v>4.5</v>
      </c>
      <c r="K12" s="3">
        <v>5</v>
      </c>
      <c r="L12" s="3">
        <v>1</v>
      </c>
      <c r="M12" s="3">
        <v>1</v>
      </c>
      <c r="N12" s="3"/>
      <c r="O12" s="3">
        <v>5</v>
      </c>
      <c r="P12" s="17">
        <v>3.5</v>
      </c>
      <c r="Q12" s="3" t="s">
        <v>68</v>
      </c>
      <c r="R12" s="3">
        <v>1</v>
      </c>
      <c r="S12" s="37">
        <v>3.5</v>
      </c>
      <c r="T12" s="3"/>
      <c r="U12" s="17"/>
      <c r="V12" s="29"/>
      <c r="W12" s="3"/>
    </row>
    <row r="13" spans="1:27">
      <c r="A13" s="2">
        <v>8</v>
      </c>
      <c r="B13" s="3" t="s">
        <v>484</v>
      </c>
      <c r="C13" s="3" t="s">
        <v>485</v>
      </c>
      <c r="D13" s="5" t="s">
        <v>472</v>
      </c>
      <c r="E13" s="3" t="s">
        <v>38</v>
      </c>
      <c r="F13" s="3" t="s">
        <v>72</v>
      </c>
      <c r="G13" s="17">
        <v>5</v>
      </c>
      <c r="H13" s="17">
        <v>4.5</v>
      </c>
      <c r="I13" s="3"/>
      <c r="J13" s="3">
        <f>(4+4.5+5+4.5+3.5)/5</f>
        <v>4.3</v>
      </c>
      <c r="K13" s="3">
        <v>3.3</v>
      </c>
      <c r="L13" s="3">
        <v>1</v>
      </c>
      <c r="M13" s="3">
        <v>1</v>
      </c>
      <c r="N13" s="3"/>
      <c r="O13" s="3">
        <v>3.3</v>
      </c>
      <c r="P13" s="17">
        <v>4.8</v>
      </c>
      <c r="Q13" s="3" t="s">
        <v>68</v>
      </c>
      <c r="R13" s="3">
        <v>1</v>
      </c>
      <c r="S13" s="37">
        <v>3.5</v>
      </c>
      <c r="T13" s="3"/>
      <c r="U13" s="17"/>
      <c r="V13" s="29"/>
      <c r="W13" s="3"/>
    </row>
    <row r="14" spans="1:27">
      <c r="A14" s="2">
        <v>9</v>
      </c>
      <c r="B14" s="3" t="s">
        <v>241</v>
      </c>
      <c r="C14" s="3" t="s">
        <v>486</v>
      </c>
      <c r="D14" s="4" t="s">
        <v>469</v>
      </c>
      <c r="E14" s="3" t="s">
        <v>38</v>
      </c>
      <c r="F14" s="3" t="s">
        <v>72</v>
      </c>
      <c r="G14" s="17">
        <v>5</v>
      </c>
      <c r="H14" s="17">
        <v>4.5</v>
      </c>
      <c r="I14" s="3"/>
      <c r="J14" s="3">
        <f>(4.5+5+5+5+5)/5</f>
        <v>4.9000000000000004</v>
      </c>
      <c r="K14" s="3">
        <v>5</v>
      </c>
      <c r="L14" s="3">
        <v>1</v>
      </c>
      <c r="M14" s="3">
        <v>1</v>
      </c>
      <c r="N14" s="3"/>
      <c r="O14" s="3">
        <v>5</v>
      </c>
      <c r="P14" s="17">
        <v>4.2</v>
      </c>
      <c r="Q14" s="3" t="s">
        <v>68</v>
      </c>
      <c r="R14" s="3">
        <v>1</v>
      </c>
      <c r="S14" s="37">
        <v>3.5</v>
      </c>
      <c r="T14" s="3"/>
      <c r="U14" s="17"/>
      <c r="V14" s="29"/>
      <c r="W14" s="3"/>
    </row>
    <row r="15" spans="1:27">
      <c r="A15" s="2">
        <v>10</v>
      </c>
      <c r="B15" s="3" t="s">
        <v>33</v>
      </c>
      <c r="C15" s="3" t="s">
        <v>487</v>
      </c>
      <c r="D15" s="4" t="s">
        <v>469</v>
      </c>
      <c r="E15" s="3"/>
      <c r="F15" s="3"/>
      <c r="G15" s="3">
        <v>5</v>
      </c>
      <c r="H15" s="3">
        <v>3.2</v>
      </c>
      <c r="I15" s="3"/>
      <c r="J15" s="3">
        <f>(3.5+3.5+3.5+5+5)/5</f>
        <v>4.0999999999999996</v>
      </c>
      <c r="K15" s="3"/>
      <c r="L15" s="3">
        <v>4.5</v>
      </c>
      <c r="M15" s="3">
        <v>1</v>
      </c>
      <c r="N15" s="3"/>
      <c r="O15" s="3"/>
      <c r="P15" s="17">
        <v>4.4000000000000004</v>
      </c>
      <c r="Q15" s="3"/>
      <c r="R15" s="3"/>
      <c r="S15" s="37">
        <v>3.2</v>
      </c>
      <c r="T15" s="3"/>
      <c r="U15" s="17"/>
      <c r="V15" s="29"/>
      <c r="W15" s="3"/>
    </row>
    <row r="16" spans="1:27">
      <c r="A16" s="2">
        <v>11</v>
      </c>
      <c r="B16" s="3" t="s">
        <v>488</v>
      </c>
      <c r="C16" s="3" t="s">
        <v>489</v>
      </c>
      <c r="D16" s="4" t="s">
        <v>469</v>
      </c>
      <c r="E16" s="3" t="s">
        <v>38</v>
      </c>
      <c r="F16" s="3"/>
      <c r="G16" s="3">
        <v>5</v>
      </c>
      <c r="H16" s="3">
        <v>3.2</v>
      </c>
      <c r="I16" s="3"/>
      <c r="J16" s="3">
        <f>(5+5+5+4.5+4)/5</f>
        <v>4.7</v>
      </c>
      <c r="K16" s="3">
        <v>5</v>
      </c>
      <c r="L16" s="3">
        <v>1</v>
      </c>
      <c r="M16" s="3">
        <v>1</v>
      </c>
      <c r="N16" s="3"/>
      <c r="O16" s="3">
        <v>5</v>
      </c>
      <c r="P16" s="17">
        <v>1</v>
      </c>
      <c r="Q16" s="22"/>
      <c r="R16" s="3"/>
      <c r="S16" s="37">
        <v>3.2</v>
      </c>
      <c r="T16" s="3"/>
      <c r="U16" s="17"/>
      <c r="V16" s="29"/>
      <c r="W16" s="3"/>
    </row>
    <row r="17" spans="1:24">
      <c r="A17" s="2">
        <v>12</v>
      </c>
      <c r="B17" s="3" t="s">
        <v>490</v>
      </c>
      <c r="C17" s="3" t="s">
        <v>491</v>
      </c>
      <c r="D17" s="4" t="s">
        <v>469</v>
      </c>
      <c r="E17" s="3" t="s">
        <v>38</v>
      </c>
      <c r="F17" s="3" t="s">
        <v>72</v>
      </c>
      <c r="G17" s="17">
        <v>5</v>
      </c>
      <c r="H17" s="17">
        <v>4.5</v>
      </c>
      <c r="I17" s="3"/>
      <c r="J17" s="3">
        <f>(5+5+5+4.5+4)/5</f>
        <v>4.7</v>
      </c>
      <c r="K17" s="3">
        <v>4.2</v>
      </c>
      <c r="L17" s="3">
        <v>1</v>
      </c>
      <c r="M17" s="3">
        <v>1</v>
      </c>
      <c r="N17" s="3"/>
      <c r="O17" s="3">
        <v>4.2</v>
      </c>
      <c r="P17" s="17">
        <v>1</v>
      </c>
      <c r="Q17" s="22" t="s">
        <v>475</v>
      </c>
      <c r="R17" s="3">
        <v>3</v>
      </c>
      <c r="S17" s="37">
        <v>4.5</v>
      </c>
      <c r="T17" s="3"/>
      <c r="U17" s="17"/>
      <c r="V17" s="29"/>
      <c r="W17" s="3"/>
    </row>
    <row r="18" spans="1:24">
      <c r="A18" s="2">
        <v>13</v>
      </c>
      <c r="B18" s="3" t="s">
        <v>492</v>
      </c>
      <c r="C18" s="3" t="s">
        <v>493</v>
      </c>
      <c r="D18" s="5" t="s">
        <v>472</v>
      </c>
      <c r="E18" s="3" t="s">
        <v>38</v>
      </c>
      <c r="F18" s="3"/>
      <c r="G18" s="3">
        <v>5</v>
      </c>
      <c r="H18" s="3">
        <v>3.2</v>
      </c>
      <c r="I18" s="3"/>
      <c r="J18" s="3">
        <f>(4.5+5+5+5+5)/5</f>
        <v>4.9000000000000004</v>
      </c>
      <c r="K18" s="3"/>
      <c r="L18" s="3">
        <v>1</v>
      </c>
      <c r="M18" s="3">
        <v>1</v>
      </c>
      <c r="N18" s="3"/>
      <c r="O18" s="3"/>
      <c r="P18" s="17">
        <v>4.5</v>
      </c>
      <c r="Q18" s="3" t="s">
        <v>72</v>
      </c>
      <c r="R18" s="3">
        <v>1</v>
      </c>
      <c r="S18" s="37">
        <v>3.5</v>
      </c>
      <c r="T18" s="3"/>
      <c r="U18" s="17"/>
      <c r="V18" s="29"/>
      <c r="W18" s="3"/>
    </row>
    <row r="19" spans="1:24">
      <c r="A19" s="2">
        <v>14</v>
      </c>
      <c r="B19" s="3" t="s">
        <v>366</v>
      </c>
      <c r="C19" s="3" t="s">
        <v>494</v>
      </c>
      <c r="D19" s="4" t="s">
        <v>469</v>
      </c>
      <c r="E19" s="3" t="s">
        <v>38</v>
      </c>
      <c r="F19" s="3" t="s">
        <v>72</v>
      </c>
      <c r="G19" s="17">
        <v>5</v>
      </c>
      <c r="H19" s="17">
        <v>4.5</v>
      </c>
      <c r="I19" s="3"/>
      <c r="J19" s="3">
        <f>(4+5+5+5+5)/5</f>
        <v>4.8</v>
      </c>
      <c r="K19" s="3">
        <v>5</v>
      </c>
      <c r="L19" s="3">
        <v>1</v>
      </c>
      <c r="M19" s="3">
        <v>1</v>
      </c>
      <c r="N19" s="3"/>
      <c r="O19" s="3">
        <v>5</v>
      </c>
      <c r="P19" s="17">
        <v>4.2</v>
      </c>
      <c r="Q19" s="22" t="s">
        <v>495</v>
      </c>
      <c r="R19" s="3">
        <v>2</v>
      </c>
      <c r="S19" s="37">
        <v>4</v>
      </c>
      <c r="T19" s="3"/>
      <c r="U19" s="17"/>
      <c r="V19" s="29"/>
      <c r="W19" s="3"/>
    </row>
    <row r="20" spans="1:24">
      <c r="A20" s="2">
        <v>15</v>
      </c>
      <c r="B20" s="3" t="s">
        <v>496</v>
      </c>
      <c r="C20" s="3" t="s">
        <v>497</v>
      </c>
      <c r="D20" s="5" t="s">
        <v>472</v>
      </c>
      <c r="E20" s="3" t="s">
        <v>38</v>
      </c>
      <c r="F20" s="3" t="s">
        <v>72</v>
      </c>
      <c r="G20" s="17">
        <v>5</v>
      </c>
      <c r="H20" s="17">
        <v>4.5</v>
      </c>
      <c r="I20" s="3"/>
      <c r="J20" s="3">
        <f>(3.5+4+5+4.5+1)/5</f>
        <v>3.6</v>
      </c>
      <c r="K20" s="3">
        <v>2.5</v>
      </c>
      <c r="L20" s="3">
        <v>1</v>
      </c>
      <c r="M20" s="3">
        <v>1</v>
      </c>
      <c r="N20" s="3"/>
      <c r="O20" s="3">
        <v>2.5</v>
      </c>
      <c r="P20" s="17">
        <v>1</v>
      </c>
      <c r="Q20" s="3" t="s">
        <v>61</v>
      </c>
      <c r="R20" s="3">
        <v>2</v>
      </c>
      <c r="S20" s="37">
        <v>4</v>
      </c>
      <c r="T20" s="3"/>
      <c r="U20" s="17"/>
      <c r="V20" s="29"/>
      <c r="W20" s="3"/>
      <c r="X20" s="19" t="s">
        <v>498</v>
      </c>
    </row>
    <row r="21" spans="1:24">
      <c r="A21" s="2">
        <v>16</v>
      </c>
      <c r="B21" s="3" t="s">
        <v>169</v>
      </c>
      <c r="C21" s="3" t="s">
        <v>499</v>
      </c>
      <c r="D21" s="5" t="s">
        <v>472</v>
      </c>
      <c r="E21" s="3" t="s">
        <v>38</v>
      </c>
      <c r="F21" s="3"/>
      <c r="G21" s="3">
        <v>5</v>
      </c>
      <c r="H21" s="3">
        <v>3.2</v>
      </c>
      <c r="I21" s="3"/>
      <c r="J21" s="17">
        <f>(3.5+3.5+3.5+3.5+2)/5</f>
        <v>3.2</v>
      </c>
      <c r="K21" s="3">
        <v>5</v>
      </c>
      <c r="L21" s="3">
        <v>1</v>
      </c>
      <c r="M21" s="3">
        <v>1</v>
      </c>
      <c r="N21" s="3"/>
      <c r="O21" s="3">
        <v>5</v>
      </c>
      <c r="P21" s="17">
        <v>4.3</v>
      </c>
      <c r="Q21" s="3"/>
      <c r="R21" s="3"/>
      <c r="S21" s="37">
        <v>3.2</v>
      </c>
      <c r="T21" s="3"/>
      <c r="U21" s="17"/>
      <c r="V21" s="29"/>
      <c r="W21" s="3"/>
    </row>
    <row r="22" spans="1:24">
      <c r="A22" s="2">
        <v>17</v>
      </c>
      <c r="B22" s="3" t="s">
        <v>227</v>
      </c>
      <c r="C22" s="3" t="s">
        <v>500</v>
      </c>
      <c r="D22" s="4" t="s">
        <v>469</v>
      </c>
      <c r="E22" s="3">
        <v>4.5</v>
      </c>
      <c r="F22" s="3" t="s">
        <v>72</v>
      </c>
      <c r="G22" s="3">
        <v>4.5</v>
      </c>
      <c r="H22" s="3">
        <v>4.5</v>
      </c>
      <c r="I22" s="3"/>
      <c r="J22" s="3">
        <f>(4+3.5+5+4.5+5)/5</f>
        <v>4.4000000000000004</v>
      </c>
      <c r="K22" s="3">
        <v>5</v>
      </c>
      <c r="L22" s="3">
        <v>1</v>
      </c>
      <c r="M22" s="3">
        <v>1</v>
      </c>
      <c r="N22" s="3"/>
      <c r="O22" s="3">
        <v>5</v>
      </c>
      <c r="P22" s="17">
        <v>4.0999999999999996</v>
      </c>
      <c r="Q22" s="22" t="s">
        <v>68</v>
      </c>
      <c r="R22" s="3">
        <v>1</v>
      </c>
      <c r="S22" s="37">
        <v>3.5</v>
      </c>
      <c r="T22" s="3"/>
      <c r="U22" s="17"/>
      <c r="V22" s="29"/>
      <c r="W22" s="3"/>
    </row>
    <row r="23" spans="1:24">
      <c r="A23" s="2">
        <v>18</v>
      </c>
      <c r="B23" s="3" t="s">
        <v>501</v>
      </c>
      <c r="C23" s="3" t="s">
        <v>502</v>
      </c>
      <c r="D23" s="4" t="s">
        <v>469</v>
      </c>
      <c r="E23" s="3" t="s">
        <v>38</v>
      </c>
      <c r="F23" s="3" t="s">
        <v>72</v>
      </c>
      <c r="G23" s="17">
        <v>5</v>
      </c>
      <c r="H23" s="17">
        <v>4.5</v>
      </c>
      <c r="I23" s="3"/>
      <c r="J23" s="3">
        <f>(5+5+5+5+5)/5</f>
        <v>5</v>
      </c>
      <c r="K23" s="3">
        <v>5</v>
      </c>
      <c r="L23" s="45">
        <v>3.5</v>
      </c>
      <c r="M23" s="3">
        <v>1</v>
      </c>
      <c r="N23" s="3"/>
      <c r="O23" s="3">
        <v>5</v>
      </c>
      <c r="P23" s="17">
        <v>1</v>
      </c>
      <c r="Q23" s="3" t="s">
        <v>68</v>
      </c>
      <c r="R23" s="3">
        <v>1</v>
      </c>
      <c r="S23" s="37">
        <v>3.5</v>
      </c>
      <c r="T23" s="3"/>
      <c r="U23" s="17"/>
      <c r="V23" s="29"/>
      <c r="W23" s="3"/>
    </row>
    <row r="24" spans="1:24">
      <c r="A24" s="2">
        <v>19</v>
      </c>
      <c r="B24" s="3" t="s">
        <v>503</v>
      </c>
      <c r="C24" s="3" t="s">
        <v>504</v>
      </c>
      <c r="D24" s="5" t="s">
        <v>472</v>
      </c>
      <c r="E24" s="3" t="s">
        <v>38</v>
      </c>
      <c r="F24" s="3"/>
      <c r="G24" s="3">
        <v>5</v>
      </c>
      <c r="H24" s="3">
        <v>3.2</v>
      </c>
      <c r="I24" s="3"/>
      <c r="J24" s="3">
        <v>1</v>
      </c>
      <c r="K24" s="3">
        <v>4.2</v>
      </c>
      <c r="L24" s="3">
        <v>1</v>
      </c>
      <c r="M24" s="3">
        <v>1</v>
      </c>
      <c r="N24" s="3"/>
      <c r="O24" s="3">
        <v>4.2</v>
      </c>
      <c r="P24" s="3">
        <v>4.5</v>
      </c>
      <c r="Q24" s="3"/>
      <c r="R24" s="3"/>
      <c r="S24" s="37">
        <v>3.2</v>
      </c>
      <c r="T24" s="3"/>
      <c r="U24" s="17"/>
      <c r="V24" s="29"/>
      <c r="W24" s="3"/>
    </row>
    <row r="25" spans="1:24">
      <c r="A25" s="2">
        <v>20</v>
      </c>
      <c r="B25" s="3" t="s">
        <v>264</v>
      </c>
      <c r="C25" s="3" t="s">
        <v>505</v>
      </c>
      <c r="D25" s="4" t="s">
        <v>469</v>
      </c>
      <c r="E25" s="3" t="s">
        <v>38</v>
      </c>
      <c r="F25" s="3" t="s">
        <v>72</v>
      </c>
      <c r="G25" s="17">
        <v>5</v>
      </c>
      <c r="H25" s="17">
        <v>4.5</v>
      </c>
      <c r="I25" s="3"/>
      <c r="J25" s="3">
        <f>(5+5+5+5+5)/5</f>
        <v>5</v>
      </c>
      <c r="K25" s="3">
        <v>5</v>
      </c>
      <c r="L25" s="3">
        <v>1</v>
      </c>
      <c r="M25" s="3">
        <v>1</v>
      </c>
      <c r="N25" s="3"/>
      <c r="O25" s="3">
        <v>5</v>
      </c>
      <c r="P25" s="17">
        <v>4.9000000000000004</v>
      </c>
      <c r="Q25" s="22" t="s">
        <v>506</v>
      </c>
      <c r="R25" s="3">
        <v>4</v>
      </c>
      <c r="S25" s="37">
        <v>5</v>
      </c>
      <c r="T25" s="3"/>
      <c r="U25" s="17"/>
      <c r="V25" s="29"/>
      <c r="W25" s="3"/>
    </row>
    <row r="26" spans="1:24">
      <c r="A26" s="2">
        <v>21</v>
      </c>
      <c r="B26" s="3" t="s">
        <v>507</v>
      </c>
      <c r="C26" s="3" t="s">
        <v>432</v>
      </c>
      <c r="D26" s="4" t="s">
        <v>472</v>
      </c>
      <c r="E26" s="3"/>
      <c r="F26" s="3"/>
      <c r="G26" s="3">
        <v>5</v>
      </c>
      <c r="H26" s="3">
        <v>3.2</v>
      </c>
      <c r="I26" s="3"/>
      <c r="J26" s="3">
        <v>1</v>
      </c>
      <c r="K26" s="45">
        <v>3.5</v>
      </c>
      <c r="L26" s="45">
        <v>3.5</v>
      </c>
      <c r="M26" s="3">
        <v>1</v>
      </c>
      <c r="N26" s="3"/>
      <c r="O26" s="45">
        <v>3.5</v>
      </c>
      <c r="P26" s="17">
        <v>1</v>
      </c>
      <c r="Q26" s="22"/>
      <c r="R26" s="3"/>
      <c r="S26" s="37">
        <v>3.2</v>
      </c>
      <c r="T26" s="3"/>
      <c r="U26" s="17"/>
      <c r="V26" s="29"/>
      <c r="W26" s="3"/>
    </row>
    <row r="27" spans="1:24">
      <c r="A27" s="2">
        <v>22</v>
      </c>
      <c r="B27" s="3" t="s">
        <v>55</v>
      </c>
      <c r="C27" s="3" t="s">
        <v>508</v>
      </c>
      <c r="D27" s="5" t="s">
        <v>472</v>
      </c>
      <c r="E27" s="3" t="s">
        <v>38</v>
      </c>
      <c r="F27" s="3" t="s">
        <v>72</v>
      </c>
      <c r="G27" s="17">
        <v>5</v>
      </c>
      <c r="H27" s="17">
        <v>4.5</v>
      </c>
      <c r="I27" s="3"/>
      <c r="J27" s="3">
        <f>(3.5+4.5+5+4.5+1)/5</f>
        <v>3.7</v>
      </c>
      <c r="K27" s="3">
        <v>5</v>
      </c>
      <c r="L27" s="3">
        <v>1</v>
      </c>
      <c r="M27" s="3">
        <v>1</v>
      </c>
      <c r="N27" s="3"/>
      <c r="O27" s="3">
        <v>5</v>
      </c>
      <c r="P27" s="3">
        <v>1.5</v>
      </c>
      <c r="Q27" s="3" t="s">
        <v>61</v>
      </c>
      <c r="R27" s="3">
        <v>2</v>
      </c>
      <c r="S27" s="37">
        <v>4</v>
      </c>
      <c r="T27" s="3"/>
      <c r="U27" s="17"/>
      <c r="V27" s="29"/>
      <c r="W27" s="3"/>
    </row>
    <row r="28" spans="1:24">
      <c r="A28" s="2">
        <v>23</v>
      </c>
      <c r="B28" s="3" t="s">
        <v>509</v>
      </c>
      <c r="C28" s="3" t="s">
        <v>510</v>
      </c>
      <c r="D28" s="4" t="s">
        <v>469</v>
      </c>
      <c r="E28" s="3">
        <v>4.5</v>
      </c>
      <c r="F28" s="3"/>
      <c r="G28" s="17">
        <v>4.5</v>
      </c>
      <c r="H28" s="17">
        <v>3.2</v>
      </c>
      <c r="I28" s="3"/>
      <c r="J28" s="3">
        <f>(3.5+3.5+5+5+5)/5</f>
        <v>4.4000000000000004</v>
      </c>
      <c r="K28" s="3">
        <v>2</v>
      </c>
      <c r="L28" s="3">
        <v>1</v>
      </c>
      <c r="M28" s="3">
        <v>1</v>
      </c>
      <c r="N28" s="3"/>
      <c r="O28" s="3">
        <v>2</v>
      </c>
      <c r="P28" s="17">
        <v>3.4</v>
      </c>
      <c r="Q28" s="3"/>
      <c r="R28" s="3"/>
      <c r="S28" s="37">
        <v>3.2</v>
      </c>
      <c r="T28" s="3"/>
      <c r="U28" s="17"/>
      <c r="V28" s="29"/>
      <c r="W28" s="3"/>
    </row>
    <row r="29" spans="1:24">
      <c r="A29" s="2">
        <v>24</v>
      </c>
      <c r="B29" s="3" t="s">
        <v>142</v>
      </c>
      <c r="C29" s="3" t="s">
        <v>511</v>
      </c>
      <c r="D29" s="4" t="s">
        <v>469</v>
      </c>
      <c r="E29" s="3" t="s">
        <v>38</v>
      </c>
      <c r="F29" s="3" t="s">
        <v>72</v>
      </c>
      <c r="G29" s="17">
        <v>5</v>
      </c>
      <c r="H29" s="17">
        <v>4.5</v>
      </c>
      <c r="I29" s="3"/>
      <c r="J29" s="3">
        <f>(3.5+4+5+4.5+4)/5</f>
        <v>4.2</v>
      </c>
      <c r="K29" s="3">
        <v>5</v>
      </c>
      <c r="L29" s="45">
        <v>3.5</v>
      </c>
      <c r="M29" s="3">
        <v>1</v>
      </c>
      <c r="N29" s="3"/>
      <c r="O29" s="3">
        <v>5</v>
      </c>
      <c r="P29" s="17">
        <v>1</v>
      </c>
      <c r="Q29" s="22" t="s">
        <v>475</v>
      </c>
      <c r="R29" s="3">
        <v>3</v>
      </c>
      <c r="S29" s="37">
        <v>4.5</v>
      </c>
      <c r="T29" s="3"/>
      <c r="U29" s="17"/>
      <c r="V29" s="29"/>
      <c r="W29" s="3"/>
    </row>
    <row r="32" spans="1:24">
      <c r="B32" s="1" t="s">
        <v>512</v>
      </c>
    </row>
    <row r="33" spans="1:7">
      <c r="A33" s="1">
        <v>1</v>
      </c>
      <c r="B33" s="1" t="s">
        <v>513</v>
      </c>
      <c r="C33" s="1" t="s">
        <v>114</v>
      </c>
      <c r="D33" s="82">
        <v>44497</v>
      </c>
      <c r="E33" s="82"/>
      <c r="F33" s="82"/>
      <c r="G33" s="82"/>
    </row>
    <row r="34" spans="1:7">
      <c r="B34" s="1" t="s">
        <v>241</v>
      </c>
    </row>
    <row r="35" spans="1:7">
      <c r="B35" s="1" t="s">
        <v>264</v>
      </c>
    </row>
    <row r="37" spans="1:7">
      <c r="A37" s="1">
        <v>2</v>
      </c>
      <c r="B37" s="1" t="s">
        <v>514</v>
      </c>
      <c r="C37" s="1" t="s">
        <v>104</v>
      </c>
      <c r="D37" s="82">
        <v>44498</v>
      </c>
      <c r="E37" s="82"/>
      <c r="F37" s="82"/>
      <c r="G37" s="82"/>
    </row>
    <row r="38" spans="1:7">
      <c r="B38" s="1" t="s">
        <v>515</v>
      </c>
    </row>
    <row r="39" spans="1:7">
      <c r="B39" s="1" t="s">
        <v>516</v>
      </c>
    </row>
    <row r="41" spans="1:7">
      <c r="A41" s="1">
        <v>3</v>
      </c>
      <c r="B41" s="1" t="s">
        <v>517</v>
      </c>
      <c r="C41" s="1" t="s">
        <v>206</v>
      </c>
      <c r="D41" s="82">
        <v>44498</v>
      </c>
      <c r="E41" s="82"/>
      <c r="F41" s="82"/>
      <c r="G41" s="82"/>
    </row>
    <row r="42" spans="1:7">
      <c r="B42" s="1" t="s">
        <v>518</v>
      </c>
    </row>
    <row r="43" spans="1:7">
      <c r="B43" s="1" t="s">
        <v>55</v>
      </c>
    </row>
    <row r="45" spans="1:7">
      <c r="A45" s="1">
        <v>4</v>
      </c>
      <c r="B45" s="1" t="s">
        <v>519</v>
      </c>
      <c r="C45" s="1" t="s">
        <v>108</v>
      </c>
      <c r="D45" s="82">
        <v>44497</v>
      </c>
      <c r="E45" s="82"/>
      <c r="F45" s="82"/>
      <c r="G45" s="82"/>
    </row>
    <row r="46" spans="1:7">
      <c r="B46" s="1" t="s">
        <v>520</v>
      </c>
    </row>
    <row r="47" spans="1:7">
      <c r="B47" s="1" t="s">
        <v>521</v>
      </c>
    </row>
    <row r="49" spans="1:7">
      <c r="A49" s="1">
        <v>5</v>
      </c>
      <c r="B49" s="1" t="s">
        <v>522</v>
      </c>
      <c r="C49" s="1" t="s">
        <v>118</v>
      </c>
      <c r="D49" s="82">
        <v>44498</v>
      </c>
      <c r="E49" s="82"/>
      <c r="F49" s="82"/>
      <c r="G49" s="82"/>
    </row>
    <row r="50" spans="1:7">
      <c r="B50" s="1" t="s">
        <v>523</v>
      </c>
    </row>
    <row r="51" spans="1:7">
      <c r="B51" s="1" t="s">
        <v>524</v>
      </c>
    </row>
    <row r="53" spans="1:7">
      <c r="A53" s="1">
        <v>6</v>
      </c>
      <c r="B53" s="1" t="s">
        <v>470</v>
      </c>
      <c r="C53" s="1" t="s">
        <v>98</v>
      </c>
      <c r="D53" s="82">
        <v>44497</v>
      </c>
      <c r="E53" s="82"/>
      <c r="F53" s="82"/>
      <c r="G53" s="82"/>
    </row>
    <row r="54" spans="1:7">
      <c r="B54" s="1" t="s">
        <v>525</v>
      </c>
    </row>
    <row r="55" spans="1:7">
      <c r="B55" s="1" t="s">
        <v>526</v>
      </c>
    </row>
    <row r="57" spans="1:7">
      <c r="A57" s="1">
        <v>7</v>
      </c>
      <c r="B57" s="1" t="s">
        <v>527</v>
      </c>
      <c r="C57" s="1" t="s">
        <v>442</v>
      </c>
      <c r="D57" s="82">
        <v>44498</v>
      </c>
      <c r="E57" s="82"/>
      <c r="F57" s="82"/>
      <c r="G57" s="82"/>
    </row>
    <row r="58" spans="1:7">
      <c r="B58" s="1" t="s">
        <v>528</v>
      </c>
    </row>
    <row r="59" spans="1:7">
      <c r="B59" s="1" t="s">
        <v>529</v>
      </c>
    </row>
    <row r="61" spans="1:7">
      <c r="A61" s="1">
        <v>8</v>
      </c>
      <c r="B61" s="1" t="s">
        <v>33</v>
      </c>
      <c r="C61" s="1" t="s">
        <v>111</v>
      </c>
      <c r="D61" s="82">
        <v>44497</v>
      </c>
      <c r="E61" s="82"/>
      <c r="F61" s="82"/>
      <c r="G61" s="82"/>
    </row>
    <row r="62" spans="1:7">
      <c r="B62" s="1" t="s">
        <v>530</v>
      </c>
    </row>
    <row r="63" spans="1:7">
      <c r="B63" s="1" t="s">
        <v>531</v>
      </c>
    </row>
  </sheetData>
  <mergeCells count="17">
    <mergeCell ref="D33:G33"/>
    <mergeCell ref="D37:G37"/>
    <mergeCell ref="D57:G57"/>
    <mergeCell ref="D61:G61"/>
    <mergeCell ref="D41:G41"/>
    <mergeCell ref="D45:G45"/>
    <mergeCell ref="D53:G53"/>
    <mergeCell ref="D49:G49"/>
    <mergeCell ref="B2:W2"/>
    <mergeCell ref="B4:B5"/>
    <mergeCell ref="C4:C5"/>
    <mergeCell ref="D4:D5"/>
    <mergeCell ref="E4:K4"/>
    <mergeCell ref="L4:P4"/>
    <mergeCell ref="Q4:W4"/>
    <mergeCell ref="K3:L3"/>
    <mergeCell ref="M3:O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StephanyFG</dc:creator>
  <cp:keywords/>
  <dc:description/>
  <cp:lastModifiedBy/>
  <cp:revision/>
  <dcterms:created xsi:type="dcterms:W3CDTF">2021-01-25T14:19:59Z</dcterms:created>
  <dcterms:modified xsi:type="dcterms:W3CDTF">2021-11-08T19:24:41Z</dcterms:modified>
  <cp:category/>
  <cp:contentStatus/>
</cp:coreProperties>
</file>