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HP\Documents\GitHub\Wet-DryPenguins\Documentación\Tablas\"/>
    </mc:Choice>
  </mc:AlternateContent>
  <xr:revisionPtr revIDLastSave="0" documentId="13_ncr:1_{CE3071E0-167B-4402-89E6-93C5C6CA5EE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Fórmulas" sheetId="2" r:id="rId1"/>
    <sheet name="Cálculo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B33" i="1" s="1"/>
  <c r="F16" i="1"/>
  <c r="E16" i="1"/>
  <c r="D16" i="1"/>
  <c r="C16" i="1"/>
  <c r="B16" i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C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D8" i="1"/>
  <c r="C8" i="1"/>
  <c r="B8" i="1"/>
  <c r="E7" i="1"/>
  <c r="I6" i="1"/>
  <c r="H6" i="1"/>
  <c r="G6" i="1"/>
  <c r="F6" i="1"/>
  <c r="E6" i="1"/>
  <c r="D6" i="1"/>
  <c r="C6" i="1"/>
  <c r="B6" i="1"/>
  <c r="I5" i="1"/>
  <c r="H5" i="1"/>
  <c r="G5" i="1"/>
  <c r="F5" i="1"/>
  <c r="E5" i="1"/>
  <c r="E19" i="1" s="1"/>
  <c r="D5" i="1"/>
  <c r="C5" i="1"/>
  <c r="B5" i="1"/>
  <c r="B3" i="1"/>
  <c r="I2" i="1"/>
  <c r="I19" i="1" s="1"/>
  <c r="H2" i="1"/>
  <c r="H19" i="1" s="1"/>
  <c r="B24" i="1" s="1"/>
  <c r="G2" i="1"/>
  <c r="G19" i="1" s="1"/>
  <c r="B32" i="1" s="1"/>
  <c r="F2" i="1"/>
  <c r="F19" i="1" s="1"/>
  <c r="B28" i="1" s="1"/>
  <c r="D2" i="1"/>
  <c r="D19" i="1" s="1"/>
  <c r="B25" i="1" s="1"/>
  <c r="C2" i="1"/>
  <c r="C19" i="1" s="1"/>
  <c r="B26" i="1" s="1"/>
  <c r="B2" i="1"/>
  <c r="B19" i="1" s="1"/>
  <c r="B31" i="1" l="1"/>
  <c r="B29" i="1"/>
  <c r="B27" i="1"/>
  <c r="B30" i="1"/>
  <c r="B23" i="1"/>
  <c r="B35" i="1" s="1"/>
  <c r="E34" i="1" l="1"/>
  <c r="E31" i="1"/>
  <c r="E29" i="1"/>
  <c r="E27" i="1"/>
  <c r="E25" i="1"/>
  <c r="E23" i="1"/>
  <c r="E32" i="1"/>
  <c r="E30" i="1"/>
  <c r="E28" i="1"/>
  <c r="E26" i="1"/>
  <c r="E24" i="1"/>
</calcChain>
</file>

<file path=xl/sharedStrings.xml><?xml version="1.0" encoding="utf-8"?>
<sst xmlns="http://schemas.openxmlformats.org/spreadsheetml/2006/main" count="108" uniqueCount="51">
  <si>
    <t>Capacitor</t>
  </si>
  <si>
    <t>Diodo uso general</t>
  </si>
  <si>
    <t>Diodo schotky</t>
  </si>
  <si>
    <t>Resistencia</t>
  </si>
  <si>
    <t>Microcontrolador</t>
  </si>
  <si>
    <t>LED</t>
  </si>
  <si>
    <t>PCB</t>
  </si>
  <si>
    <t>Conector</t>
  </si>
  <si>
    <t>Pila</t>
  </si>
  <si>
    <t>πG</t>
  </si>
  <si>
    <t>πC</t>
  </si>
  <si>
    <t>-</t>
  </si>
  <si>
    <t>λOB</t>
  </si>
  <si>
    <t>πDCO</t>
  </si>
  <si>
    <t>πTO</t>
  </si>
  <si>
    <t>πP</t>
  </si>
  <si>
    <t>πS</t>
  </si>
  <si>
    <t>λEB</t>
  </si>
  <si>
    <t>πDCN</t>
  </si>
  <si>
    <t>πTE</t>
  </si>
  <si>
    <t>λTCB</t>
  </si>
  <si>
    <t>πCR</t>
  </si>
  <si>
    <t>πDT</t>
  </si>
  <si>
    <t>λSJB</t>
  </si>
  <si>
    <t>λSJDT</t>
  </si>
  <si>
    <t>λEOS</t>
  </si>
  <si>
    <t>λIND</t>
  </si>
  <si>
    <t>Bloque:</t>
  </si>
  <si>
    <t>λ [fallas/10^6hs]</t>
  </si>
  <si>
    <t>t [años]</t>
  </si>
  <si>
    <t>R(t)</t>
  </si>
  <si>
    <t>2x Conector</t>
  </si>
  <si>
    <t>2x Diodo Schotky</t>
  </si>
  <si>
    <t>3x Diodo uso general</t>
  </si>
  <si>
    <t>RC de reset</t>
  </si>
  <si>
    <t>Micro</t>
  </si>
  <si>
    <t>2xR de sensado</t>
  </si>
  <si>
    <t>4x Pines de entrada</t>
  </si>
  <si>
    <t>R de LED</t>
  </si>
  <si>
    <t>λtotal</t>
  </si>
  <si>
    <t>MTBF [años]</t>
  </si>
  <si>
    <t>Componente</t>
  </si>
  <si>
    <t>Diodo</t>
  </si>
  <si>
    <t>$\lambda_p = \pi_G \left(  \lambda_{OB}  \pi_{DCO}  \pi_{TO}  \pi_S +  \lambda_{EB} \pi_{DCN}  \pi_{TE}  +  \lambda_{TCB} \pi_{CR}  \pi_{DT}  \right) + \lambda_{SJB} \pi_{SJDT}  + \lambda_{EOS}$</t>
  </si>
  <si>
    <t>$\lambda_p = \pi_G \pi_C \left(  \lambda_{OB}  \pi_{DCO}  \pi_{TO}  \pi_S +  \lambda_{EB} \pi_{DCN}  \pi_{TE}  +  \lambda_{TCB} \pi_{CR}  \pi_{DT}  \right) +  \lambda_{SJB} \pi_{SJDT}  + \lambda_{EOS}$</t>
  </si>
  <si>
    <t>$\lambda_p = \pi_G \left(  \lambda_{OB}  \pi_{DCO}  \pi_{TO}  \pi_P +  \lambda_{EB} \pi_{DCN}  \pi_{TE}  +  \lambda_{TCB} \pi_{CR}  \pi_{DT}  \right) +  \lambda_{SJB} \pi_{SJDT}  + \lambda_{IND}$</t>
  </si>
  <si>
    <t>$\lambda_p = \pi_G \left(  \lambda_{OB}  \pi_{DCO}  \pi_{TO}  +  \lambda_{EB} \pi_{DCN}  \pi_{RHT}  +  \lambda_{TCB} \pi_{CR}  \pi_{DT}  \right) +  \lambda_{SJB} \pi_{SJDT}  + \lambda_{EOS}$</t>
  </si>
  <si>
    <t>$\lambda_p = \pi_G \left(  \lambda_{OB}  \pi_{DCO}  \pi_{TO}  +  \lambda_{EB} \pi_{DCN}  \pi_{TE}  +  \lambda_{TCB} \pi_{CR}  \pi_{DT}  \right) + \lambda_{IND}$</t>
  </si>
  <si>
    <t>Documentación</t>
  </si>
  <si>
    <t>Cálculo de tasa de fallos [$fallas/10^6 horas$]</t>
  </si>
  <si>
    <t>λP [fallas/10^6 hs]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</si>
</sst>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00"/>
    <numFmt numFmtId="165" formatCode="0.0000"/>
    <numFmt numFmtId="166" formatCode="0.000000"/>
    <numFmt numFmtId="167" formatCode="0.00000"/>
    <numFmt numFmtId="168" formatCode="0.000"/>
    <numFmt numFmtId="169" formatCode="0.0000000"/>
    <numFmt numFmtId="172" formatCode="0.0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5" fontId="1" fillId="0" borderId="1" xfId="0" applyNumberFormat="1" applyFont="1" applyBorder="1"/>
    <xf numFmtId="167" fontId="1" fillId="0" borderId="1" xfId="0" applyNumberFormat="1" applyFont="1" applyBorder="1"/>
    <xf numFmtId="168" fontId="1" fillId="0" borderId="1" xfId="0" applyNumberFormat="1" applyFont="1" applyBorder="1"/>
    <xf numFmtId="0" fontId="2" fillId="3" borderId="1" xfId="0" applyFont="1" applyFill="1" applyBorder="1"/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9" fontId="1" fillId="0" borderId="1" xfId="0" applyNumberFormat="1" applyFont="1" applyBorder="1"/>
    <xf numFmtId="10" fontId="1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68" fontId="2" fillId="4" borderId="1" xfId="0" applyNumberFormat="1" applyFont="1" applyFill="1" applyBorder="1"/>
    <xf numFmtId="1" fontId="1" fillId="0" borderId="1" xfId="0" applyNumberFormat="1" applyFont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2" xfId="0" applyBorder="1" applyAlignment="1">
      <alignment horizontal="center"/>
    </xf>
    <xf numFmtId="169" fontId="1" fillId="0" borderId="2" xfId="0" applyNumberFormat="1" applyFont="1" applyBorder="1"/>
    <xf numFmtId="0" fontId="3" fillId="0" borderId="2" xfId="0" applyFont="1" applyBorder="1" applyAlignment="1">
      <alignment horizontal="center"/>
    </xf>
    <xf numFmtId="0" fontId="1" fillId="0" borderId="3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2" fontId="1" fillId="0" borderId="2" xfId="0" applyNumberFormat="1" applyFont="1" applyBorder="1"/>
    <xf numFmtId="165" fontId="1" fillId="0" borderId="2" xfId="0" applyNumberFormat="1" applyFont="1" applyBorder="1"/>
    <xf numFmtId="172" fontId="1" fillId="0" borderId="2" xfId="0" applyNumberFormat="1" applyFont="1" applyBorder="1"/>
    <xf numFmtId="167" fontId="1" fillId="0" borderId="2" xfId="0" applyNumberFormat="1" applyFont="1" applyBorder="1"/>
    <xf numFmtId="168" fontId="1" fillId="0" borderId="2" xfId="0" applyNumberFormat="1" applyFont="1" applyBorder="1"/>
    <xf numFmtId="164" fontId="1" fillId="0" borderId="2" xfId="0" applyNumberFormat="1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/>
    <xf numFmtId="166" fontId="1" fillId="0" borderId="2" xfId="0" applyNumberFormat="1" applyFont="1" applyBorder="1"/>
    <xf numFmtId="1" fontId="1" fillId="0" borderId="2" xfId="0" applyNumberFormat="1" applyFont="1" applyBorder="1"/>
    <xf numFmtId="0" fontId="4" fillId="0" borderId="2" xfId="0" applyFont="1" applyBorder="1"/>
    <xf numFmtId="0" fontId="6" fillId="0" borderId="2" xfId="0" applyFont="1" applyBorder="1" applyAlignment="1">
      <alignment horizontal="left"/>
    </xf>
    <xf numFmtId="0" fontId="5" fillId="5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4E8D-E705-48FF-865B-582AFCCB12A0}">
  <dimension ref="A1:B9"/>
  <sheetViews>
    <sheetView zoomScale="145" zoomScaleNormal="145" workbookViewId="0">
      <selection activeCell="B9" sqref="B9"/>
    </sheetView>
  </sheetViews>
  <sheetFormatPr defaultRowHeight="12.75" x14ac:dyDescent="0.2"/>
  <cols>
    <col min="1" max="1" width="22.42578125" customWidth="1"/>
    <col min="2" max="2" width="93.140625" customWidth="1"/>
  </cols>
  <sheetData>
    <row r="1" spans="1:2" x14ac:dyDescent="0.2">
      <c r="A1" s="36" t="s">
        <v>41</v>
      </c>
      <c r="B1" s="36" t="s">
        <v>49</v>
      </c>
    </row>
    <row r="2" spans="1:2" x14ac:dyDescent="0.2">
      <c r="A2" s="35" t="s">
        <v>0</v>
      </c>
      <c r="B2" s="34" t="s">
        <v>44</v>
      </c>
    </row>
    <row r="3" spans="1:2" x14ac:dyDescent="0.2">
      <c r="A3" s="35" t="s">
        <v>42</v>
      </c>
      <c r="B3" s="34" t="s">
        <v>43</v>
      </c>
    </row>
    <row r="4" spans="1:2" x14ac:dyDescent="0.2">
      <c r="A4" s="35" t="s">
        <v>3</v>
      </c>
      <c r="B4" s="34" t="s">
        <v>45</v>
      </c>
    </row>
    <row r="5" spans="1:2" x14ac:dyDescent="0.2">
      <c r="A5" s="35" t="s">
        <v>4</v>
      </c>
      <c r="B5" s="34" t="s">
        <v>46</v>
      </c>
    </row>
    <row r="6" spans="1:2" x14ac:dyDescent="0.2">
      <c r="A6" s="35" t="s">
        <v>5</v>
      </c>
      <c r="B6" s="34" t="s">
        <v>47</v>
      </c>
    </row>
    <row r="7" spans="1:2" x14ac:dyDescent="0.2">
      <c r="A7" s="35" t="s">
        <v>6</v>
      </c>
      <c r="B7" s="34" t="s">
        <v>47</v>
      </c>
    </row>
    <row r="8" spans="1:2" x14ac:dyDescent="0.2">
      <c r="A8" s="35" t="s">
        <v>7</v>
      </c>
      <c r="B8" s="34" t="s">
        <v>47</v>
      </c>
    </row>
    <row r="9" spans="1:2" x14ac:dyDescent="0.2">
      <c r="A9" s="35" t="s">
        <v>8</v>
      </c>
      <c r="B9" s="34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5"/>
  <sheetViews>
    <sheetView tabSelected="1" topLeftCell="A19" workbookViewId="0">
      <selection activeCell="A22" sqref="A22:E35"/>
    </sheetView>
  </sheetViews>
  <sheetFormatPr defaultColWidth="12.5703125" defaultRowHeight="15.75" customHeight="1" x14ac:dyDescent="0.2"/>
  <cols>
    <col min="1" max="1" width="19.28515625" customWidth="1"/>
    <col min="2" max="2" width="15.42578125" customWidth="1"/>
    <col min="3" max="3" width="15.28515625" customWidth="1"/>
    <col min="4" max="5" width="13.28515625" customWidth="1"/>
    <col min="6" max="6" width="16.85546875" customWidth="1"/>
    <col min="7" max="7" width="13.7109375" bestFit="1" customWidth="1"/>
  </cols>
  <sheetData>
    <row r="1" spans="1:10" x14ac:dyDescent="0.2">
      <c r="A1" s="21"/>
      <c r="B1" s="23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0" t="s">
        <v>8</v>
      </c>
    </row>
    <row r="2" spans="1:10" x14ac:dyDescent="0.2">
      <c r="A2" s="37" t="s">
        <v>9</v>
      </c>
      <c r="B2" s="24">
        <f>EXP(-0.0082*(2023-1993))</f>
        <v>0.78192222492547725</v>
      </c>
      <c r="C2" s="25">
        <f t="shared" ref="C2:D2" si="0">EXP(-0.223*(2023-1993))</f>
        <v>1.2432827729612404E-3</v>
      </c>
      <c r="D2" s="25">
        <f t="shared" si="0"/>
        <v>1.2432827729612404E-3</v>
      </c>
      <c r="E2" s="26">
        <v>1</v>
      </c>
      <c r="F2" s="19">
        <f>EXP(-0.479*(2023-1993))</f>
        <v>5.7436543319574034E-7</v>
      </c>
      <c r="G2" s="27">
        <f>EXP(-0.34*(2023-1993))</f>
        <v>3.7170318684126666E-5</v>
      </c>
      <c r="H2" s="28">
        <f t="shared" ref="H2:I2" si="1">EXP(-0.23*(2023-1993))</f>
        <v>1.0077854290485105E-3</v>
      </c>
      <c r="I2" s="28">
        <f t="shared" si="1"/>
        <v>1.0077854290485105E-3</v>
      </c>
      <c r="J2" s="18" t="s">
        <v>11</v>
      </c>
    </row>
    <row r="3" spans="1:10" x14ac:dyDescent="0.2">
      <c r="A3" s="22" t="s">
        <v>10</v>
      </c>
      <c r="B3" s="26">
        <f>POWER((0.001/0.1),0.09)</f>
        <v>0.660693448007596</v>
      </c>
      <c r="C3" s="29" t="s">
        <v>11</v>
      </c>
      <c r="D3" s="29" t="s">
        <v>11</v>
      </c>
      <c r="E3" s="29" t="s">
        <v>11</v>
      </c>
      <c r="F3" s="29" t="s">
        <v>11</v>
      </c>
      <c r="G3" s="29" t="s">
        <v>11</v>
      </c>
      <c r="H3" s="29" t="s">
        <v>11</v>
      </c>
      <c r="I3" s="30" t="s">
        <v>11</v>
      </c>
      <c r="J3" s="18" t="s">
        <v>11</v>
      </c>
    </row>
    <row r="4" spans="1:10" x14ac:dyDescent="0.2">
      <c r="A4" s="22" t="s">
        <v>12</v>
      </c>
      <c r="B4" s="25">
        <v>1.292E-3</v>
      </c>
      <c r="C4" s="27">
        <v>6.1600000000000001E-4</v>
      </c>
      <c r="D4" s="27">
        <v>4.8760000000000001E-5</v>
      </c>
      <c r="E4" s="27">
        <v>3.5800000000000003E-5</v>
      </c>
      <c r="F4" s="27">
        <v>7.9999999999999996E-6</v>
      </c>
      <c r="G4" s="27">
        <v>3.1199999999999999E-5</v>
      </c>
      <c r="H4" s="27">
        <v>3.82E-5</v>
      </c>
      <c r="I4" s="25">
        <v>1.5809999999999999E-4</v>
      </c>
      <c r="J4" s="18" t="s">
        <v>11</v>
      </c>
    </row>
    <row r="5" spans="1:10" x14ac:dyDescent="0.2">
      <c r="A5" s="22" t="s">
        <v>13</v>
      </c>
      <c r="B5" s="24">
        <f>0.01/0.83</f>
        <v>1.2048192771084338E-2</v>
      </c>
      <c r="C5" s="24">
        <f t="shared" ref="C5:E5" si="2">0.01/0.23</f>
        <v>4.3478260869565216E-2</v>
      </c>
      <c r="D5" s="24">
        <f t="shared" si="2"/>
        <v>4.3478260869565216E-2</v>
      </c>
      <c r="E5" s="24">
        <f t="shared" si="2"/>
        <v>4.3478260869565216E-2</v>
      </c>
      <c r="F5" s="24">
        <f>0.01/0.28</f>
        <v>3.5714285714285712E-2</v>
      </c>
      <c r="G5" s="24">
        <f>0.01/0.32</f>
        <v>3.125E-2</v>
      </c>
      <c r="H5" s="24">
        <f t="shared" ref="H5:I5" si="3">0.01/0.51</f>
        <v>1.9607843137254902E-2</v>
      </c>
      <c r="I5" s="24">
        <f t="shared" si="3"/>
        <v>1.9607843137254902E-2</v>
      </c>
      <c r="J5" s="18" t="s">
        <v>11</v>
      </c>
    </row>
    <row r="6" spans="1:10" x14ac:dyDescent="0.2">
      <c r="A6" s="22" t="s">
        <v>14</v>
      </c>
      <c r="B6" s="26">
        <f>EXP((-0.3/0.00008617)*(1/297-1/298))</f>
        <v>0.96142741898877793</v>
      </c>
      <c r="C6" s="26">
        <f t="shared" ref="C6:D6" si="4">EXP((-0.3/0.00008617)*(1/293-1/298))</f>
        <v>0.81924992291665832</v>
      </c>
      <c r="D6" s="26">
        <f t="shared" si="4"/>
        <v>0.81924992291665832</v>
      </c>
      <c r="E6" s="26">
        <f>EXP((-0.2/0.00008617)*(1/293-1/298))</f>
        <v>0.87554325391498478</v>
      </c>
      <c r="F6" s="26">
        <f>EXP((-0.2/0.00008617)*(1/303-1/298))</f>
        <v>1.1371489753644504</v>
      </c>
      <c r="G6" s="26">
        <f>EXP((-0.6/0.00008617)*(1/290-1/298))</f>
        <v>0.52488757694297639</v>
      </c>
      <c r="H6" s="26">
        <f t="shared" ref="H6:I6" si="5">EXP((-0.2/0.00008617)*(1/288-1/298))</f>
        <v>0.76304642591121974</v>
      </c>
      <c r="I6" s="26">
        <f t="shared" si="5"/>
        <v>0.76304642591121974</v>
      </c>
      <c r="J6" s="18" t="s">
        <v>11</v>
      </c>
    </row>
    <row r="7" spans="1:10" x14ac:dyDescent="0.2">
      <c r="A7" s="22" t="s">
        <v>15</v>
      </c>
      <c r="B7" s="29" t="s">
        <v>11</v>
      </c>
      <c r="C7" s="29" t="s">
        <v>11</v>
      </c>
      <c r="D7" s="29" t="s">
        <v>11</v>
      </c>
      <c r="E7" s="31">
        <f>POWER(0.125/0.29,0.39)</f>
        <v>0.72021089336151034</v>
      </c>
      <c r="F7" s="29" t="s">
        <v>11</v>
      </c>
      <c r="G7" s="29" t="s">
        <v>11</v>
      </c>
      <c r="H7" s="29" t="s">
        <v>11</v>
      </c>
      <c r="I7" s="30" t="s">
        <v>11</v>
      </c>
      <c r="J7" s="18" t="s">
        <v>11</v>
      </c>
    </row>
    <row r="8" spans="1:10" x14ac:dyDescent="0.2">
      <c r="A8" s="22" t="s">
        <v>16</v>
      </c>
      <c r="B8" s="32">
        <f>POWER((3.3/50)/6,3)</f>
        <v>1.3310000000000005E-6</v>
      </c>
      <c r="C8" s="28">
        <f t="shared" ref="C8:D8" si="6">POWER(3.3/100,2.43)/0.185</f>
        <v>1.3577416653279704E-3</v>
      </c>
      <c r="D8" s="28">
        <f t="shared" si="6"/>
        <v>1.3577416653279704E-3</v>
      </c>
      <c r="E8" s="29" t="s">
        <v>11</v>
      </c>
      <c r="F8" s="29" t="s">
        <v>11</v>
      </c>
      <c r="G8" s="29" t="s">
        <v>11</v>
      </c>
      <c r="H8" s="29" t="s">
        <v>11</v>
      </c>
      <c r="I8" s="30" t="s">
        <v>11</v>
      </c>
      <c r="J8" s="18" t="s">
        <v>11</v>
      </c>
    </row>
    <row r="9" spans="1:10" x14ac:dyDescent="0.2">
      <c r="A9" s="22" t="s">
        <v>17</v>
      </c>
      <c r="B9" s="25">
        <v>6.4499999999999996E-4</v>
      </c>
      <c r="C9" s="27">
        <v>3.0800000000000003E-5</v>
      </c>
      <c r="D9" s="27">
        <v>3.8500000000000001E-5</v>
      </c>
      <c r="E9" s="27">
        <v>2.65E-5</v>
      </c>
      <c r="F9" s="27">
        <v>6.3400000000000001E-4</v>
      </c>
      <c r="G9" s="25">
        <v>1.082E-4</v>
      </c>
      <c r="H9" s="25">
        <v>1.011E-4</v>
      </c>
      <c r="I9" s="25">
        <v>8.8210000000000003E-4</v>
      </c>
      <c r="J9" s="18" t="s">
        <v>11</v>
      </c>
    </row>
    <row r="10" spans="1:10" x14ac:dyDescent="0.2">
      <c r="A10" s="22" t="s">
        <v>18</v>
      </c>
      <c r="B10" s="24">
        <f>0.999/0.83</f>
        <v>1.2036144578313253</v>
      </c>
      <c r="C10" s="24">
        <f t="shared" ref="C10:E10" si="7">0.999/0.77</f>
        <v>1.2974025974025973</v>
      </c>
      <c r="D10" s="24">
        <f t="shared" si="7"/>
        <v>1.2974025974025973</v>
      </c>
      <c r="E10" s="24">
        <f t="shared" si="7"/>
        <v>1.2974025974025973</v>
      </c>
      <c r="F10" s="24">
        <f>0.999/0.72</f>
        <v>1.3875</v>
      </c>
      <c r="G10" s="24">
        <f>0.999/0.68</f>
        <v>1.4691176470588234</v>
      </c>
      <c r="H10" s="24">
        <f t="shared" ref="H10:I10" si="8">0.999/0.49</f>
        <v>2.0387755102040819</v>
      </c>
      <c r="I10" s="24">
        <f t="shared" si="8"/>
        <v>2.0387755102040819</v>
      </c>
      <c r="J10" s="18" t="s">
        <v>11</v>
      </c>
    </row>
    <row r="11" spans="1:10" x14ac:dyDescent="0.2">
      <c r="A11" s="22" t="s">
        <v>19</v>
      </c>
      <c r="B11" s="26">
        <f>EXP((-0.3/0.00008617)*(1/283-1/298))</f>
        <v>0.53835748431779462</v>
      </c>
      <c r="C11" s="26">
        <f t="shared" ref="C11:D11" si="9">EXP((-0.4/0.00008617)*(1/283-1/298))</f>
        <v>0.43795316918690946</v>
      </c>
      <c r="D11" s="26">
        <f t="shared" si="9"/>
        <v>0.43795316918690946</v>
      </c>
      <c r="E11" s="26">
        <f>EXP((-0.2/0.00008617)*(1/283-1/298))</f>
        <v>0.66178030280970845</v>
      </c>
      <c r="F11" s="26">
        <f>EXP((-0.3/0.00008617)*(1/283-1/298))</f>
        <v>0.53835748431779462</v>
      </c>
      <c r="G11" s="26">
        <f>EXP((-0.4/0.00008617)*(1/283-1/298))</f>
        <v>0.43795316918690946</v>
      </c>
      <c r="H11" s="26">
        <f t="shared" ref="H11:I11" si="10">EXP((-0.2/0.00008617)*(1/283-1/298))</f>
        <v>0.66178030280970845</v>
      </c>
      <c r="I11" s="26">
        <f t="shared" si="10"/>
        <v>0.66178030280970845</v>
      </c>
      <c r="J11" s="18" t="s">
        <v>11</v>
      </c>
    </row>
    <row r="12" spans="1:10" x14ac:dyDescent="0.2">
      <c r="A12" s="22" t="s">
        <v>20</v>
      </c>
      <c r="B12" s="27">
        <v>9.6000000000000002E-5</v>
      </c>
      <c r="C12" s="27">
        <f>0.000098</f>
        <v>9.7999999999999997E-5</v>
      </c>
      <c r="D12" s="25">
        <v>5.5000000000000003E-4</v>
      </c>
      <c r="E12" s="32">
        <v>9.9999999999999995E-7</v>
      </c>
      <c r="F12" s="27">
        <v>2.5000000000000001E-5</v>
      </c>
      <c r="G12" s="27">
        <v>9.2E-6</v>
      </c>
      <c r="H12" s="32">
        <v>3.3000000000000002E-6</v>
      </c>
      <c r="I12" s="27">
        <v>1.3900000000000001E-5</v>
      </c>
      <c r="J12" s="18" t="s">
        <v>11</v>
      </c>
    </row>
    <row r="13" spans="1:10" x14ac:dyDescent="0.2">
      <c r="A13" s="22" t="s">
        <v>21</v>
      </c>
      <c r="B13" s="28">
        <f>1/1140.35</f>
        <v>8.7692375147980887E-4</v>
      </c>
      <c r="C13" s="32">
        <f t="shared" ref="C13:D13" si="11">0.001/736.84</f>
        <v>1.3571467347049563E-6</v>
      </c>
      <c r="D13" s="32">
        <f t="shared" si="11"/>
        <v>1.3571467347049563E-6</v>
      </c>
      <c r="E13" s="28">
        <f>1/1140.35</f>
        <v>8.7692375147980887E-4</v>
      </c>
      <c r="F13" s="28">
        <f>1/482.46</f>
        <v>2.0727106910417444E-3</v>
      </c>
      <c r="G13" s="28">
        <f>1/388</f>
        <v>2.5773195876288659E-3</v>
      </c>
      <c r="H13" s="28">
        <f t="shared" ref="H13:I13" si="12">1/423</f>
        <v>2.3640661938534278E-3</v>
      </c>
      <c r="I13" s="28">
        <f t="shared" si="12"/>
        <v>2.3640661938534278E-3</v>
      </c>
      <c r="J13" s="18" t="s">
        <v>11</v>
      </c>
    </row>
    <row r="14" spans="1:10" x14ac:dyDescent="0.2">
      <c r="A14" s="22" t="s">
        <v>22</v>
      </c>
      <c r="B14" s="24">
        <f>POWER((24-10)/21,2)</f>
        <v>0.44444444444444442</v>
      </c>
      <c r="C14" s="24">
        <f t="shared" ref="C14:D14" si="13">POWER((24-10)/80,2)</f>
        <v>3.0624999999999996E-2</v>
      </c>
      <c r="D14" s="24">
        <f t="shared" si="13"/>
        <v>3.0624999999999996E-2</v>
      </c>
      <c r="E14" s="24">
        <f>POWER((20-10)/86,2)</f>
        <v>1.3520822065981611E-2</v>
      </c>
      <c r="F14" s="24">
        <f>POWER((20+20-10)/26.5,4)</f>
        <v>1.6424854200903591</v>
      </c>
      <c r="G14" s="24">
        <f>POWER((20+7-10)/14.27,2)</f>
        <v>1.4192205679926966</v>
      </c>
      <c r="H14" s="24">
        <f t="shared" ref="H14:I14" si="14">POWER((20+5-10)/58.69,2)</f>
        <v>6.532122175303523E-2</v>
      </c>
      <c r="I14" s="24">
        <f t="shared" si="14"/>
        <v>6.532122175303523E-2</v>
      </c>
      <c r="J14" s="18" t="s">
        <v>11</v>
      </c>
    </row>
    <row r="15" spans="1:10" x14ac:dyDescent="0.2">
      <c r="A15" s="22" t="s">
        <v>23</v>
      </c>
      <c r="B15" s="25">
        <v>9.5E-4</v>
      </c>
      <c r="C15" s="25">
        <v>2.1000000000000001E-4</v>
      </c>
      <c r="D15" s="25">
        <v>2.1000000000000001E-4</v>
      </c>
      <c r="E15" s="25">
        <v>8.8999999999999995E-4</v>
      </c>
      <c r="F15" s="25">
        <v>4.8500000000000001E-3</v>
      </c>
      <c r="G15" s="29" t="s">
        <v>11</v>
      </c>
      <c r="H15" s="29" t="s">
        <v>11</v>
      </c>
      <c r="I15" s="30" t="s">
        <v>11</v>
      </c>
      <c r="J15" s="18" t="s">
        <v>11</v>
      </c>
    </row>
    <row r="16" spans="1:10" x14ac:dyDescent="0.2">
      <c r="A16" s="22" t="s">
        <v>24</v>
      </c>
      <c r="B16" s="24">
        <f>POWER((24-10)/44,2.26)</f>
        <v>7.5170304895247939E-2</v>
      </c>
      <c r="C16" s="24">
        <f t="shared" ref="C16:E16" si="15">POWER((20-10)/44,2.26)</f>
        <v>3.5139611133580551E-2</v>
      </c>
      <c r="D16" s="24">
        <f t="shared" si="15"/>
        <v>3.5139611133580551E-2</v>
      </c>
      <c r="E16" s="24">
        <f t="shared" si="15"/>
        <v>3.5139611133580551E-2</v>
      </c>
      <c r="F16" s="24">
        <f>POWER((20+20-10)/44,2.26)</f>
        <v>0.42081478189472343</v>
      </c>
      <c r="G16" s="29" t="s">
        <v>11</v>
      </c>
      <c r="H16" s="29" t="s">
        <v>11</v>
      </c>
      <c r="I16" s="30" t="s">
        <v>11</v>
      </c>
      <c r="J16" s="18" t="s">
        <v>11</v>
      </c>
    </row>
    <row r="17" spans="1:10" x14ac:dyDescent="0.2">
      <c r="A17" s="22" t="s">
        <v>25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27">
        <v>0</v>
      </c>
      <c r="J17" s="18" t="s">
        <v>11</v>
      </c>
    </row>
    <row r="18" spans="1:10" x14ac:dyDescent="0.2">
      <c r="A18" s="22" t="s">
        <v>26</v>
      </c>
      <c r="B18" s="29" t="s">
        <v>11</v>
      </c>
      <c r="C18" s="29" t="s">
        <v>11</v>
      </c>
      <c r="D18" s="29" t="s">
        <v>11</v>
      </c>
      <c r="E18" s="32">
        <v>6.0000000000000002E-6</v>
      </c>
      <c r="F18" s="29" t="s">
        <v>11</v>
      </c>
      <c r="G18" s="25">
        <v>1.306E-4</v>
      </c>
      <c r="H18" s="25">
        <v>1.6009999999999999E-4</v>
      </c>
      <c r="I18" s="28">
        <v>2.0041999999999998E-3</v>
      </c>
      <c r="J18" s="18" t="s">
        <v>11</v>
      </c>
    </row>
    <row r="19" spans="1:10" x14ac:dyDescent="0.2">
      <c r="A19" s="38" t="s">
        <v>50</v>
      </c>
      <c r="B19" s="25">
        <f>B2*B3*(B4*B5*B6*B8+B9*B10*B11+B12*B13*B14)+B15*B16*+B17</f>
        <v>2.1593364764706818E-4</v>
      </c>
      <c r="C19" s="32">
        <f t="shared" ref="C19:D19" si="16">C2*(C4*C5*C6*C8+C9*C10*C11+C12*C13*C14)+C15*C16+C17</f>
        <v>7.4011135871074728E-6</v>
      </c>
      <c r="D19" s="32">
        <f t="shared" si="16"/>
        <v>7.4065190548555202E-6</v>
      </c>
      <c r="E19" s="27">
        <f>E2*(E4*E5*E6*E7+E9*E10*E11+E12*E13*E14)+E15*E16+E18</f>
        <v>6.100855100952972E-5</v>
      </c>
      <c r="F19" s="28">
        <f>F2*(F4*F5*F6+F9*F10*F11+F12*F13*F14)+F15*F16+F17</f>
        <v>2.0409519644326675E-3</v>
      </c>
      <c r="G19" s="25">
        <f t="shared" ref="G19:I19" si="17">G2*(G4*G5*G6+G9*G10*G11+G12*G13*G14)+G18</f>
        <v>1.3060260793679011E-4</v>
      </c>
      <c r="H19" s="25">
        <f t="shared" si="17"/>
        <v>1.6023804477253227E-4</v>
      </c>
      <c r="I19" s="28">
        <f t="shared" si="17"/>
        <v>2.0054018001006324E-3</v>
      </c>
      <c r="J19" s="19">
        <f>1000*1000*(1/144.2)^5.75</f>
        <v>3.8543376099170333E-7</v>
      </c>
    </row>
    <row r="22" spans="1:10" x14ac:dyDescent="0.2">
      <c r="A22" s="3" t="s">
        <v>27</v>
      </c>
      <c r="B22" s="2" t="s">
        <v>28</v>
      </c>
      <c r="D22" s="7" t="s">
        <v>29</v>
      </c>
      <c r="E22" s="7" t="s">
        <v>30</v>
      </c>
    </row>
    <row r="23" spans="1:10" x14ac:dyDescent="0.2">
      <c r="A23" s="1" t="s">
        <v>31</v>
      </c>
      <c r="B23" s="6">
        <f>2*I19</f>
        <v>4.0108036002012648E-3</v>
      </c>
      <c r="D23" s="8">
        <v>1</v>
      </c>
      <c r="E23" s="9">
        <f>EXP(-$B$35*0.000001*D23*365*24)</f>
        <v>0.9998698210938104</v>
      </c>
      <c r="G23" s="16"/>
    </row>
    <row r="24" spans="1:10" x14ac:dyDescent="0.2">
      <c r="A24" s="1" t="s">
        <v>6</v>
      </c>
      <c r="B24" s="4">
        <f>H19</f>
        <v>1.6023804477253227E-4</v>
      </c>
      <c r="D24" s="8">
        <v>2</v>
      </c>
      <c r="E24" s="9">
        <f>EXP(-$B$35*0.000001*D24*365*24)</f>
        <v>0.9997396591341684</v>
      </c>
      <c r="G24" s="17"/>
    </row>
    <row r="25" spans="1:10" x14ac:dyDescent="0.2">
      <c r="A25" s="1" t="s">
        <v>32</v>
      </c>
      <c r="B25" s="5">
        <f>2*D19</f>
        <v>1.481303810971104E-5</v>
      </c>
      <c r="D25" s="8">
        <v>3</v>
      </c>
      <c r="E25" s="9">
        <f>EXP(-$B$35*0.000001*D25*365*24)</f>
        <v>0.99960951411886789</v>
      </c>
      <c r="G25" s="17"/>
    </row>
    <row r="26" spans="1:10" x14ac:dyDescent="0.2">
      <c r="A26" s="1" t="s">
        <v>33</v>
      </c>
      <c r="B26" s="5">
        <f>3*C19</f>
        <v>2.2203340761322419E-5</v>
      </c>
      <c r="D26" s="8">
        <v>4</v>
      </c>
      <c r="E26" s="9">
        <f>EXP(-$B$35*0.000001*D26*365*24)</f>
        <v>0.99947938604570308</v>
      </c>
      <c r="G26" s="17"/>
    </row>
    <row r="27" spans="1:10" x14ac:dyDescent="0.2">
      <c r="A27" s="1" t="s">
        <v>34</v>
      </c>
      <c r="B27" s="4">
        <f>B19+E19</f>
        <v>2.7694219865659792E-4</v>
      </c>
      <c r="D27" s="8">
        <v>5</v>
      </c>
      <c r="E27" s="9">
        <f>EXP(-$B$35*0.000001*D27*365*24)</f>
        <v>0.99934927491246861</v>
      </c>
      <c r="G27" s="17"/>
    </row>
    <row r="28" spans="1:10" x14ac:dyDescent="0.2">
      <c r="A28" s="1" t="s">
        <v>35</v>
      </c>
      <c r="B28" s="6">
        <f>F19</f>
        <v>2.0409519644326675E-3</v>
      </c>
      <c r="D28" s="8">
        <v>6</v>
      </c>
      <c r="E28" s="9">
        <f>EXP(-$B$35*0.000001*D28*365*24)</f>
        <v>0.99921918071695914</v>
      </c>
      <c r="G28" s="17"/>
    </row>
    <row r="29" spans="1:10" x14ac:dyDescent="0.2">
      <c r="A29" s="1" t="s">
        <v>36</v>
      </c>
      <c r="B29" s="4">
        <f>2*E19</f>
        <v>1.2201710201905944E-4</v>
      </c>
      <c r="D29" s="8">
        <v>7</v>
      </c>
      <c r="E29" s="9">
        <f>EXP(-$B$35*0.000001*D29*365*24)</f>
        <v>0.99908910345696966</v>
      </c>
      <c r="F29" s="10"/>
      <c r="G29" s="17"/>
    </row>
    <row r="30" spans="1:10" x14ac:dyDescent="0.2">
      <c r="A30" s="1" t="s">
        <v>37</v>
      </c>
      <c r="B30" s="6">
        <f>4*I19</f>
        <v>8.0216072004025297E-3</v>
      </c>
      <c r="D30" s="8">
        <v>8</v>
      </c>
      <c r="E30" s="9">
        <f>EXP(-$B$35*0.000001*D30*365*24)</f>
        <v>0.99895904313029571</v>
      </c>
      <c r="F30" s="10"/>
      <c r="G30" s="17"/>
    </row>
    <row r="31" spans="1:10" x14ac:dyDescent="0.2">
      <c r="A31" s="1" t="s">
        <v>38</v>
      </c>
      <c r="B31" s="4">
        <f>E19</f>
        <v>6.100855100952972E-5</v>
      </c>
      <c r="D31" s="8">
        <v>9</v>
      </c>
      <c r="E31" s="9">
        <f>EXP(-$B$35*0.000001*D31*365*24)</f>
        <v>0.99882899973473271</v>
      </c>
      <c r="F31" s="10"/>
      <c r="G31" s="17"/>
    </row>
    <row r="32" spans="1:10" x14ac:dyDescent="0.2">
      <c r="A32" s="1" t="s">
        <v>5</v>
      </c>
      <c r="B32" s="4">
        <f>G19</f>
        <v>1.3060260793679011E-4</v>
      </c>
      <c r="D32" s="8">
        <v>10</v>
      </c>
      <c r="E32" s="9">
        <f>EXP(-$B$35*0.000001*D32*365*24)</f>
        <v>0.99869897326807677</v>
      </c>
      <c r="F32" s="10"/>
      <c r="G32" s="17"/>
    </row>
    <row r="33" spans="1:7" x14ac:dyDescent="0.2">
      <c r="A33" s="1" t="s">
        <v>8</v>
      </c>
      <c r="B33" s="11">
        <f>J19</f>
        <v>3.8543376099170333E-7</v>
      </c>
      <c r="D33" s="10"/>
      <c r="E33" s="12"/>
      <c r="F33" s="10"/>
      <c r="G33" s="10"/>
    </row>
    <row r="34" spans="1:7" x14ac:dyDescent="0.2">
      <c r="D34" s="1" t="s">
        <v>40</v>
      </c>
      <c r="E34" s="15">
        <f>(1/(B35*0.001))/(24*365)</f>
        <v>7.6812360650657423</v>
      </c>
    </row>
    <row r="35" spans="1:7" ht="15.75" customHeight="1" x14ac:dyDescent="0.2">
      <c r="A35" s="13" t="s">
        <v>39</v>
      </c>
      <c r="B35" s="14">
        <f>SUM(B23:B33)</f>
        <v>1.4861573082062995E-2</v>
      </c>
    </row>
  </sheetData>
  <mergeCells count="1">
    <mergeCell ref="G23:G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Fórmulas</vt:lpstr>
      <vt:lpstr>Cálculos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ALEJO AGUSTIN FIGUEROA</cp:lastModifiedBy>
  <dcterms:modified xsi:type="dcterms:W3CDTF">2024-02-03T04:14:22Z</dcterms:modified>
</cp:coreProperties>
</file>