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Documentación\Factibilidad económica\"/>
    </mc:Choice>
  </mc:AlternateContent>
  <bookViews>
    <workbookView xWindow="0" yWindow="0" windowWidth="23040" windowHeight="9192" activeTab="2"/>
  </bookViews>
  <sheets>
    <sheet name="Costos" sheetId="1" r:id="rId1"/>
    <sheet name="Ingresos" sheetId="3" r:id="rId2"/>
    <sheet name="Flujo de caj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E9" i="2" l="1"/>
  <c r="E8" i="2"/>
  <c r="F4" i="2"/>
  <c r="G4" i="2"/>
  <c r="H4" i="2"/>
  <c r="G9" i="3"/>
  <c r="F4" i="3"/>
  <c r="G4" i="3"/>
  <c r="O15" i="1"/>
  <c r="O21" i="1"/>
  <c r="O3" i="1"/>
  <c r="O13" i="1"/>
  <c r="O16" i="1"/>
  <c r="M21" i="1"/>
  <c r="M15" i="1"/>
  <c r="M20" i="1"/>
  <c r="O20" i="1"/>
  <c r="M19" i="1"/>
  <c r="O19" i="1" s="1"/>
  <c r="M18" i="1"/>
  <c r="O18" i="1" s="1"/>
  <c r="M17" i="1"/>
  <c r="O17" i="1" s="1"/>
  <c r="M16" i="1"/>
  <c r="M14" i="1"/>
  <c r="M13" i="1"/>
  <c r="M12" i="1"/>
  <c r="M10" i="1"/>
  <c r="M11" i="1"/>
  <c r="M9" i="1"/>
  <c r="M8" i="1"/>
  <c r="M7" i="1"/>
  <c r="M6" i="1"/>
  <c r="M5" i="1"/>
  <c r="M4" i="1"/>
  <c r="M3" i="1"/>
  <c r="O22" i="1" l="1"/>
  <c r="F9" i="3"/>
  <c r="G3" i="2" s="1"/>
  <c r="H3" i="2"/>
  <c r="E9" i="3"/>
  <c r="G8" i="3"/>
  <c r="F8" i="3"/>
  <c r="E8" i="3"/>
  <c r="G3" i="3"/>
  <c r="F3" i="3"/>
  <c r="E3" i="3"/>
  <c r="E4" i="3" s="1"/>
  <c r="F3" i="2" l="1"/>
  <c r="C4" i="1"/>
  <c r="C5" i="1"/>
  <c r="C6" i="1"/>
  <c r="C7" i="1"/>
  <c r="C8" i="1"/>
  <c r="C10" i="1"/>
  <c r="C9" i="1"/>
  <c r="C12" i="1"/>
  <c r="C11" i="1"/>
  <c r="C3" i="1"/>
  <c r="C13" i="1" s="1"/>
  <c r="E2" i="2" s="1"/>
  <c r="O12" i="1" l="1"/>
  <c r="O11" i="1"/>
  <c r="O10" i="1"/>
  <c r="O9" i="1"/>
  <c r="O8" i="1"/>
  <c r="O7" i="1"/>
  <c r="O6" i="1"/>
  <c r="O5" i="1"/>
  <c r="O4" i="1"/>
  <c r="G13" i="1"/>
  <c r="I13" i="1" s="1"/>
  <c r="H12" i="1"/>
  <c r="I12" i="1" s="1"/>
  <c r="G17" i="1"/>
  <c r="I17" i="1" s="1"/>
  <c r="G16" i="1"/>
  <c r="I16" i="1" s="1"/>
  <c r="G14" i="1"/>
  <c r="H14" i="1"/>
  <c r="G15" i="1"/>
  <c r="I15" i="1" s="1"/>
  <c r="I11" i="1"/>
  <c r="I10" i="1"/>
  <c r="G9" i="1"/>
  <c r="I9" i="1" s="1"/>
  <c r="G8" i="1"/>
  <c r="I7" i="1"/>
  <c r="I6" i="1"/>
  <c r="I5" i="1"/>
  <c r="I4" i="1"/>
  <c r="I3" i="1"/>
  <c r="O14" i="1" l="1"/>
  <c r="I14" i="1"/>
  <c r="I8" i="1"/>
  <c r="I18" i="1" l="1"/>
  <c r="F5" i="2" l="1"/>
  <c r="G5" i="2"/>
  <c r="H5" i="2"/>
  <c r="H6" i="2" l="1"/>
  <c r="H7" i="2" s="1"/>
  <c r="G6" i="2"/>
  <c r="G7" i="2" s="1"/>
  <c r="G8" i="2" s="1"/>
  <c r="G9" i="2" s="1"/>
  <c r="F6" i="2"/>
  <c r="F7" i="2" s="1"/>
  <c r="F8" i="2" s="1"/>
  <c r="F9" i="2" s="1"/>
  <c r="H8" i="2" l="1"/>
  <c r="H9" i="2" s="1"/>
  <c r="B5" i="2" s="1"/>
  <c r="B7" i="2" l="1"/>
</calcChain>
</file>

<file path=xl/sharedStrings.xml><?xml version="1.0" encoding="utf-8"?>
<sst xmlns="http://schemas.openxmlformats.org/spreadsheetml/2006/main" count="147" uniqueCount="121">
  <si>
    <t>Placa desarrollo MSP</t>
  </si>
  <si>
    <t>Resina Epoxi</t>
  </si>
  <si>
    <t>Resina Epoxi 2</t>
  </si>
  <si>
    <t>Pilas x70</t>
  </si>
  <si>
    <t>Componente</t>
  </si>
  <si>
    <t>Part Number</t>
  </si>
  <si>
    <t>Cantidad</t>
  </si>
  <si>
    <t>Acumulado</t>
  </si>
  <si>
    <t>Microprocesador</t>
  </si>
  <si>
    <t>MSP430FR2476TRHBR</t>
  </si>
  <si>
    <t>Diodo Schottky</t>
  </si>
  <si>
    <t>CDBQR70</t>
  </si>
  <si>
    <t>Diodo Rectificador</t>
  </si>
  <si>
    <t>1N4148WL2-TP</t>
  </si>
  <si>
    <t>LED Verde</t>
  </si>
  <si>
    <t>LTST-C171GKT</t>
  </si>
  <si>
    <t>Capacitor 100n</t>
  </si>
  <si>
    <t>CL05B104KP5VPNC</t>
  </si>
  <si>
    <t>Capacitor 4.7n</t>
  </si>
  <si>
    <t>C0402C472K5RECAUTO</t>
  </si>
  <si>
    <t>RES100</t>
  </si>
  <si>
    <t>RC0402FR-07100RL</t>
  </si>
  <si>
    <t>RES47K</t>
  </si>
  <si>
    <t>ERJ-2GEJ473X</t>
  </si>
  <si>
    <t>RES2K2</t>
  </si>
  <si>
    <t>RC0402FR-072K2L</t>
  </si>
  <si>
    <t>Pines</t>
  </si>
  <si>
    <t>6136-0-00-15-00-00-03-0</t>
  </si>
  <si>
    <t>Pilas</t>
  </si>
  <si>
    <t>Resina</t>
  </si>
  <si>
    <t>Placa</t>
  </si>
  <si>
    <t>JLCPCB</t>
  </si>
  <si>
    <t>Costos Logger</t>
  </si>
  <si>
    <t>Costos desarrollo</t>
  </si>
  <si>
    <t>Acrílico</t>
  </si>
  <si>
    <t>Dólar oficial compra FEB</t>
  </si>
  <si>
    <t>Dólar oficial compra JUN</t>
  </si>
  <si>
    <t>Dólar oficial compra JUL</t>
  </si>
  <si>
    <t>Dólar oficial compra SEP</t>
  </si>
  <si>
    <t>Dólar oficial compra AGO</t>
  </si>
  <si>
    <t>Descripción</t>
  </si>
  <si>
    <t>Total desarrollo</t>
  </si>
  <si>
    <t>Total Logger</t>
  </si>
  <si>
    <t>Mano de obra - Soldado</t>
  </si>
  <si>
    <t>Mano de obra - Poteo</t>
  </si>
  <si>
    <t>SR626</t>
  </si>
  <si>
    <t>Epoxi transparente</t>
  </si>
  <si>
    <t>2 unidades/h</t>
  </si>
  <si>
    <t>Costos Base</t>
  </si>
  <si>
    <t>Ventas</t>
  </si>
  <si>
    <t>Utilidad Neta</t>
  </si>
  <si>
    <t>Inversión</t>
  </si>
  <si>
    <t>Impuestos</t>
  </si>
  <si>
    <t>Flujo de caja</t>
  </si>
  <si>
    <t>Loggers</t>
  </si>
  <si>
    <t>Demanda anual</t>
  </si>
  <si>
    <t>Bases</t>
  </si>
  <si>
    <t>Precio unitario</t>
  </si>
  <si>
    <t>Estación de soldado</t>
  </si>
  <si>
    <t xml:space="preserve"> Herramienta para fabricación </t>
  </si>
  <si>
    <t>Impresora 3D</t>
  </si>
  <si>
    <t>Concepto</t>
  </si>
  <si>
    <t>Compra componentes 1</t>
  </si>
  <si>
    <t>Componentes para análisis de alternativas</t>
  </si>
  <si>
    <t>Placa de desarrollo para pruebas de firmware</t>
  </si>
  <si>
    <t>Acrílico para pruebas de poteo</t>
  </si>
  <si>
    <t>Resina para pruebas de poteo</t>
  </si>
  <si>
    <t>Compra componentes 2</t>
  </si>
  <si>
    <t>Componentes para fabricar prototipos</t>
  </si>
  <si>
    <t>Resina para potear prototipos</t>
  </si>
  <si>
    <t>Pilas para prototipos</t>
  </si>
  <si>
    <t>4 Pasantes</t>
  </si>
  <si>
    <t>Part-time 4hs/día durante 236 días a USD 7.5/hr</t>
  </si>
  <si>
    <t>Utilida Bruta</t>
  </si>
  <si>
    <t>Costos Variables</t>
  </si>
  <si>
    <t xml:space="preserve"> </t>
  </si>
  <si>
    <t>VAN</t>
  </si>
  <si>
    <t>VA</t>
  </si>
  <si>
    <t>TIR</t>
  </si>
  <si>
    <t>TIRM</t>
  </si>
  <si>
    <t>Cantidad de ventas</t>
  </si>
  <si>
    <t>ESP32 NodeMCU</t>
  </si>
  <si>
    <t>Transistor MOS</t>
  </si>
  <si>
    <t>BS170-ND</t>
  </si>
  <si>
    <t>Capacitor Elec 10uF x 16V</t>
  </si>
  <si>
    <t>ECA-1CM100I</t>
  </si>
  <si>
    <t>RES220</t>
  </si>
  <si>
    <t>CF14JT220R</t>
  </si>
  <si>
    <t>RES10K</t>
  </si>
  <si>
    <t>CF14JT10K</t>
  </si>
  <si>
    <t>RES820K</t>
  </si>
  <si>
    <t>CF14JT820K</t>
  </si>
  <si>
    <t>LED RGB 5mm</t>
  </si>
  <si>
    <t>HV-5RGB25</t>
  </si>
  <si>
    <t xml:space="preserve">
Terminal Hembra Molex 4 pines</t>
  </si>
  <si>
    <t xml:space="preserve">
Terminal Macho Molex 4 pines</t>
  </si>
  <si>
    <t>Tira de 19 pines Hembra</t>
  </si>
  <si>
    <t>PH1-20-UA</t>
  </si>
  <si>
    <t>Cable plano 4 vías</t>
  </si>
  <si>
    <t>Dupont 1.27mm</t>
  </si>
  <si>
    <t>Resorte Ø4.2mm 22mm largo</t>
  </si>
  <si>
    <t>Ø4.2mm 22mm</t>
  </si>
  <si>
    <t>Cable USB C a USB A</t>
  </si>
  <si>
    <t>USBC-USBA-1M</t>
  </si>
  <si>
    <t>Tornillo M3 Allen X20mm</t>
  </si>
  <si>
    <t>Allen-M3-20mm</t>
  </si>
  <si>
    <t>Arandela 1/8''</t>
  </si>
  <si>
    <t>Tuerca M3 Hexagonal</t>
  </si>
  <si>
    <t>Tuerca M3 Hex</t>
  </si>
  <si>
    <t>Carcaza impresa 3D</t>
  </si>
  <si>
    <t>PLA-GST-WH-1.75MM</t>
  </si>
  <si>
    <t>Total base</t>
  </si>
  <si>
    <t>Mano de obra</t>
  </si>
  <si>
    <t>2 hs/unidad</t>
  </si>
  <si>
    <t>S&amp;P 500</t>
  </si>
  <si>
    <t>Período (año)</t>
  </si>
  <si>
    <t>Impuesto a las ganancias</t>
  </si>
  <si>
    <t>-</t>
  </si>
  <si>
    <t>Ingresos (USD)</t>
  </si>
  <si>
    <t>Costo Unitario</t>
  </si>
  <si>
    <t>Costo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</si>
</sst>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\ * #,##0.00_-;\-&quot;$&quot;\ * #,##0.00_-;_-&quot;$&quot;\ * &quot;-&quot;??_-;_-@_-"/>
    <numFmt numFmtId="164" formatCode="_-[$USD]\ * #,##0.00_-;\-[$USD]\ * #,##0.00_-;_-[$USD]\ * &quot;-&quot;??_-;_-@_-"/>
    <numFmt numFmtId="165" formatCode="0.000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44" fontId="0" fillId="0" borderId="0" xfId="1" applyFont="1" applyBorder="1"/>
    <xf numFmtId="164" fontId="0" fillId="0" borderId="0" xfId="1" applyNumberFormat="1" applyFont="1" applyBorder="1"/>
    <xf numFmtId="0" fontId="0" fillId="0" borderId="0" xfId="0" applyBorder="1"/>
    <xf numFmtId="0" fontId="3" fillId="0" borderId="0" xfId="0" applyFont="1"/>
    <xf numFmtId="0" fontId="0" fillId="0" borderId="0" xfId="0" applyFill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2" xfId="0" applyFill="1" applyBorder="1"/>
    <xf numFmtId="0" fontId="5" fillId="0" borderId="0" xfId="2" applyFont="1" applyFill="1" applyBorder="1"/>
    <xf numFmtId="0" fontId="3" fillId="0" borderId="6" xfId="0" applyFont="1" applyBorder="1"/>
    <xf numFmtId="0" fontId="0" fillId="0" borderId="7" xfId="0" applyBorder="1"/>
    <xf numFmtId="0" fontId="3" fillId="0" borderId="0" xfId="0" applyFont="1" applyBorder="1"/>
    <xf numFmtId="44" fontId="0" fillId="0" borderId="0" xfId="1" applyFont="1"/>
    <xf numFmtId="165" fontId="0" fillId="0" borderId="0" xfId="0" applyNumberFormat="1" applyBorder="1"/>
    <xf numFmtId="44" fontId="6" fillId="0" borderId="0" xfId="1" applyFont="1"/>
    <xf numFmtId="166" fontId="0" fillId="0" borderId="0" xfId="0" applyNumberFormat="1" applyBorder="1"/>
    <xf numFmtId="0" fontId="5" fillId="0" borderId="0" xfId="3" applyFont="1" applyBorder="1"/>
    <xf numFmtId="0" fontId="3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22" xfId="0" applyFont="1" applyBorder="1"/>
    <xf numFmtId="0" fontId="0" fillId="0" borderId="23" xfId="0" applyBorder="1"/>
    <xf numFmtId="0" fontId="0" fillId="0" borderId="0" xfId="0" applyBorder="1" applyAlignment="1"/>
    <xf numFmtId="0" fontId="3" fillId="0" borderId="4" xfId="0" applyFont="1" applyBorder="1"/>
    <xf numFmtId="0" fontId="3" fillId="0" borderId="21" xfId="0" applyFont="1" applyBorder="1"/>
    <xf numFmtId="0" fontId="0" fillId="0" borderId="21" xfId="0" applyBorder="1" applyAlignment="1"/>
    <xf numFmtId="9" fontId="0" fillId="0" borderId="0" xfId="4" applyFo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/>
    <xf numFmtId="0" fontId="3" fillId="0" borderId="7" xfId="1" applyNumberFormat="1" applyFont="1" applyBorder="1"/>
    <xf numFmtId="0" fontId="3" fillId="0" borderId="8" xfId="0" applyFont="1" applyBorder="1"/>
    <xf numFmtId="44" fontId="0" fillId="0" borderId="0" xfId="0" applyNumberFormat="1"/>
    <xf numFmtId="0" fontId="0" fillId="0" borderId="27" xfId="0" applyFill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 vertical="center"/>
    </xf>
    <xf numFmtId="0" fontId="8" fillId="0" borderId="0" xfId="0" applyFont="1"/>
    <xf numFmtId="0" fontId="0" fillId="0" borderId="0" xfId="0" applyFont="1"/>
    <xf numFmtId="44" fontId="1" fillId="0" borderId="0" xfId="1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1" xfId="0" applyFont="1" applyFill="1" applyBorder="1"/>
    <xf numFmtId="167" fontId="0" fillId="0" borderId="0" xfId="4" applyNumberFormat="1" applyFont="1"/>
    <xf numFmtId="2" fontId="0" fillId="0" borderId="20" xfId="1" applyNumberFormat="1" applyFont="1" applyBorder="1" applyAlignment="1">
      <alignment horizontal="center"/>
    </xf>
    <xf numFmtId="2" fontId="0" fillId="0" borderId="12" xfId="1" applyNumberFormat="1" applyFont="1" applyBorder="1"/>
    <xf numFmtId="2" fontId="0" fillId="0" borderId="0" xfId="1" applyNumberFormat="1" applyFont="1" applyBorder="1"/>
    <xf numFmtId="2" fontId="0" fillId="0" borderId="13" xfId="1" applyNumberFormat="1" applyFont="1" applyBorder="1"/>
    <xf numFmtId="2" fontId="0" fillId="0" borderId="35" xfId="1" applyNumberFormat="1" applyFont="1" applyBorder="1"/>
    <xf numFmtId="2" fontId="0" fillId="0" borderId="19" xfId="1" applyNumberFormat="1" applyFont="1" applyBorder="1"/>
    <xf numFmtId="2" fontId="0" fillId="0" borderId="21" xfId="1" applyNumberFormat="1" applyFont="1" applyBorder="1"/>
    <xf numFmtId="2" fontId="0" fillId="0" borderId="24" xfId="1" applyNumberFormat="1" applyFont="1" applyBorder="1"/>
    <xf numFmtId="2" fontId="0" fillId="0" borderId="17" xfId="1" applyNumberFormat="1" applyFont="1" applyBorder="1"/>
    <xf numFmtId="2" fontId="0" fillId="0" borderId="28" xfId="1" applyNumberFormat="1" applyFont="1" applyBorder="1"/>
    <xf numFmtId="2" fontId="0" fillId="0" borderId="36" xfId="1" applyNumberFormat="1" applyFont="1" applyBorder="1"/>
    <xf numFmtId="2" fontId="0" fillId="0" borderId="12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right"/>
    </xf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0" fillId="0" borderId="3" xfId="1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0" fillId="0" borderId="3" xfId="1" applyNumberFormat="1" applyFont="1" applyBorder="1"/>
    <xf numFmtId="2" fontId="3" fillId="0" borderId="8" xfId="1" applyNumberFormat="1" applyFont="1" applyFill="1" applyBorder="1"/>
    <xf numFmtId="2" fontId="0" fillId="0" borderId="3" xfId="0" applyNumberFormat="1" applyBorder="1"/>
    <xf numFmtId="2" fontId="0" fillId="0" borderId="5" xfId="0" applyNumberFormat="1" applyBorder="1"/>
    <xf numFmtId="2" fontId="3" fillId="0" borderId="5" xfId="0" applyNumberFormat="1" applyFont="1" applyBorder="1"/>
  </cellXfs>
  <cellStyles count="5">
    <cellStyle name="Entrada" xfId="2" builtinId="20"/>
    <cellStyle name="Hipervínculo" xfId="3" builtinId="8"/>
    <cellStyle name="Moneda" xfId="1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F25" sqref="F25"/>
    </sheetView>
  </sheetViews>
  <sheetFormatPr baseColWidth="10" defaultRowHeight="14.4" x14ac:dyDescent="0.3"/>
  <cols>
    <col min="1" max="1" width="21" customWidth="1"/>
    <col min="2" max="2" width="40.109375" customWidth="1"/>
    <col min="3" max="3" width="16" customWidth="1"/>
    <col min="5" max="5" width="21.5546875" customWidth="1"/>
    <col min="6" max="6" width="22.21875" customWidth="1"/>
    <col min="7" max="7" width="13.5546875" customWidth="1"/>
    <col min="8" max="8" width="8.6640625" customWidth="1"/>
    <col min="9" max="9" width="14.21875" customWidth="1"/>
    <col min="11" max="11" width="27.5546875" customWidth="1"/>
    <col min="12" max="12" width="22" customWidth="1"/>
    <col min="13" max="13" width="13.33203125" customWidth="1"/>
    <col min="14" max="14" width="8.33203125" customWidth="1"/>
    <col min="15" max="15" width="14.21875" bestFit="1" customWidth="1"/>
  </cols>
  <sheetData>
    <row r="1" spans="1:18" x14ac:dyDescent="0.3">
      <c r="A1" s="56" t="s">
        <v>33</v>
      </c>
      <c r="B1" s="57"/>
      <c r="C1" s="58"/>
      <c r="E1" s="53" t="s">
        <v>32</v>
      </c>
      <c r="F1" s="54"/>
      <c r="G1" s="54"/>
      <c r="H1" s="54"/>
      <c r="I1" s="55"/>
      <c r="K1" s="53" t="s">
        <v>48</v>
      </c>
      <c r="L1" s="54"/>
      <c r="M1" s="54"/>
      <c r="N1" s="54"/>
      <c r="O1" s="55"/>
      <c r="R1" t="s">
        <v>75</v>
      </c>
    </row>
    <row r="2" spans="1:18" x14ac:dyDescent="0.3">
      <c r="A2" s="11" t="s">
        <v>61</v>
      </c>
      <c r="B2" s="32" t="s">
        <v>40</v>
      </c>
      <c r="C2" s="34" t="s">
        <v>120</v>
      </c>
      <c r="D2" s="13"/>
      <c r="E2" s="11" t="s">
        <v>4</v>
      </c>
      <c r="F2" s="32" t="s">
        <v>5</v>
      </c>
      <c r="G2" s="33" t="s">
        <v>119</v>
      </c>
      <c r="H2" s="32" t="s">
        <v>6</v>
      </c>
      <c r="I2" s="34" t="s">
        <v>7</v>
      </c>
      <c r="K2" s="11" t="s">
        <v>4</v>
      </c>
      <c r="L2" s="32" t="s">
        <v>5</v>
      </c>
      <c r="M2" s="33" t="s">
        <v>119</v>
      </c>
      <c r="N2" s="32" t="s">
        <v>6</v>
      </c>
      <c r="O2" s="34" t="s">
        <v>7</v>
      </c>
      <c r="Q2" s="5" t="s">
        <v>36</v>
      </c>
    </row>
    <row r="3" spans="1:18" x14ac:dyDescent="0.3">
      <c r="A3" s="1" t="s">
        <v>62</v>
      </c>
      <c r="B3" s="4" t="s">
        <v>63</v>
      </c>
      <c r="C3" s="85">
        <f>43.49</f>
        <v>43.49</v>
      </c>
      <c r="D3" s="2"/>
      <c r="E3" s="1" t="s">
        <v>8</v>
      </c>
      <c r="F3" s="4" t="s">
        <v>9</v>
      </c>
      <c r="G3" s="66">
        <v>2.0541999999999998</v>
      </c>
      <c r="H3" s="4">
        <v>1</v>
      </c>
      <c r="I3" s="83">
        <f t="shared" ref="I3:I17" si="0">H3*G3</f>
        <v>2.0541999999999998</v>
      </c>
      <c r="K3" s="1" t="s">
        <v>8</v>
      </c>
      <c r="L3" s="49" t="s">
        <v>81</v>
      </c>
      <c r="M3" s="79">
        <f>13500/Q15</f>
        <v>16.520228101519862</v>
      </c>
      <c r="N3" s="44">
        <v>1</v>
      </c>
      <c r="O3" s="81">
        <f>N3*M3</f>
        <v>16.520228101519862</v>
      </c>
      <c r="Q3" s="14">
        <v>255.81200000000001</v>
      </c>
    </row>
    <row r="4" spans="1:18" x14ac:dyDescent="0.3">
      <c r="A4" s="1" t="s">
        <v>0</v>
      </c>
      <c r="B4" s="4" t="s">
        <v>64</v>
      </c>
      <c r="C4" s="85">
        <f>19.94</f>
        <v>19.940000000000001</v>
      </c>
      <c r="D4" s="2"/>
      <c r="E4" s="1" t="s">
        <v>10</v>
      </c>
      <c r="F4" s="4" t="s">
        <v>11</v>
      </c>
      <c r="G4" s="66">
        <v>0.13289999999999999</v>
      </c>
      <c r="H4" s="4">
        <v>2</v>
      </c>
      <c r="I4" s="83">
        <f t="shared" si="0"/>
        <v>0.26579999999999998</v>
      </c>
      <c r="K4" s="1" t="s">
        <v>82</v>
      </c>
      <c r="L4" s="49" t="s">
        <v>83</v>
      </c>
      <c r="M4" s="79">
        <f>0.41</f>
        <v>0.41</v>
      </c>
      <c r="N4" s="44">
        <v>2</v>
      </c>
      <c r="O4" s="81">
        <f t="shared" ref="O4:O21" si="1">N4*M4</f>
        <v>0.82</v>
      </c>
    </row>
    <row r="5" spans="1:18" x14ac:dyDescent="0.3">
      <c r="A5" s="1" t="s">
        <v>34</v>
      </c>
      <c r="B5" s="4" t="s">
        <v>65</v>
      </c>
      <c r="C5" s="85">
        <f>1250/Q6</f>
        <v>4.566443580676272</v>
      </c>
      <c r="D5" s="2"/>
      <c r="E5" s="1" t="s">
        <v>12</v>
      </c>
      <c r="F5" s="4" t="s">
        <v>13</v>
      </c>
      <c r="G5" s="66">
        <v>5.5599999999999997E-2</v>
      </c>
      <c r="H5" s="4">
        <v>3</v>
      </c>
      <c r="I5" s="83">
        <f t="shared" si="0"/>
        <v>0.1668</v>
      </c>
      <c r="K5" s="1" t="s">
        <v>84</v>
      </c>
      <c r="L5" s="49" t="s">
        <v>85</v>
      </c>
      <c r="M5" s="79">
        <f>0.21</f>
        <v>0.21</v>
      </c>
      <c r="N5" s="44">
        <v>1</v>
      </c>
      <c r="O5" s="81">
        <f t="shared" si="1"/>
        <v>0.21</v>
      </c>
      <c r="Q5" s="5" t="s">
        <v>37</v>
      </c>
    </row>
    <row r="6" spans="1:18" x14ac:dyDescent="0.3">
      <c r="A6" s="1" t="s">
        <v>1</v>
      </c>
      <c r="B6" s="4" t="s">
        <v>66</v>
      </c>
      <c r="C6" s="85">
        <f>13700/Q9</f>
        <v>39.42729692783653</v>
      </c>
      <c r="D6" s="4"/>
      <c r="E6" s="1" t="s">
        <v>14</v>
      </c>
      <c r="F6" s="4" t="s">
        <v>15</v>
      </c>
      <c r="G6" s="66">
        <v>6.3E-2</v>
      </c>
      <c r="H6" s="4">
        <v>1</v>
      </c>
      <c r="I6" s="83">
        <f t="shared" si="0"/>
        <v>6.3E-2</v>
      </c>
      <c r="K6" s="1" t="s">
        <v>86</v>
      </c>
      <c r="L6" s="49" t="s">
        <v>87</v>
      </c>
      <c r="M6" s="79">
        <f>0.01</f>
        <v>0.01</v>
      </c>
      <c r="N6" s="44">
        <v>3</v>
      </c>
      <c r="O6" s="81">
        <f t="shared" si="1"/>
        <v>0.03</v>
      </c>
      <c r="Q6" s="16">
        <v>273.73599999999999</v>
      </c>
    </row>
    <row r="7" spans="1:18" x14ac:dyDescent="0.3">
      <c r="A7" s="1" t="s">
        <v>67</v>
      </c>
      <c r="B7" s="4" t="s">
        <v>68</v>
      </c>
      <c r="C7" s="85">
        <f>104.54</f>
        <v>104.54</v>
      </c>
      <c r="D7" s="4"/>
      <c r="E7" s="1" t="s">
        <v>16</v>
      </c>
      <c r="F7" s="4" t="s">
        <v>17</v>
      </c>
      <c r="G7" s="66">
        <v>1.95E-2</v>
      </c>
      <c r="H7" s="4">
        <v>1</v>
      </c>
      <c r="I7" s="83">
        <f t="shared" si="0"/>
        <v>1.95E-2</v>
      </c>
      <c r="K7" s="1" t="s">
        <v>88</v>
      </c>
      <c r="L7" s="49" t="s">
        <v>89</v>
      </c>
      <c r="M7" s="79">
        <f>0.01</f>
        <v>0.01</v>
      </c>
      <c r="N7" s="44">
        <v>2</v>
      </c>
      <c r="O7" s="81">
        <f t="shared" si="1"/>
        <v>0.02</v>
      </c>
    </row>
    <row r="8" spans="1:18" x14ac:dyDescent="0.3">
      <c r="A8" s="1" t="s">
        <v>2</v>
      </c>
      <c r="B8" s="4" t="s">
        <v>69</v>
      </c>
      <c r="C8" s="85">
        <f>19800/Q12</f>
        <v>57.096224440067708</v>
      </c>
      <c r="D8" s="2"/>
      <c r="E8" s="1" t="s">
        <v>18</v>
      </c>
      <c r="F8" s="6" t="s">
        <v>19</v>
      </c>
      <c r="G8" s="66">
        <f>0.0471</f>
        <v>4.7100000000000003E-2</v>
      </c>
      <c r="H8" s="4">
        <v>1</v>
      </c>
      <c r="I8" s="83">
        <f t="shared" si="0"/>
        <v>4.7100000000000003E-2</v>
      </c>
      <c r="K8" s="1" t="s">
        <v>90</v>
      </c>
      <c r="L8" s="49" t="s">
        <v>91</v>
      </c>
      <c r="M8" s="79">
        <f>0.01</f>
        <v>0.01</v>
      </c>
      <c r="N8" s="44">
        <v>2</v>
      </c>
      <c r="O8" s="81">
        <f t="shared" si="1"/>
        <v>0.02</v>
      </c>
      <c r="Q8" s="5" t="s">
        <v>39</v>
      </c>
    </row>
    <row r="9" spans="1:18" x14ac:dyDescent="0.3">
      <c r="A9" s="1" t="s">
        <v>3</v>
      </c>
      <c r="B9" s="4" t="s">
        <v>70</v>
      </c>
      <c r="C9" s="85">
        <f>17290/Q12</f>
        <v>49.858268715594477</v>
      </c>
      <c r="D9" s="4"/>
      <c r="E9" s="1" t="s">
        <v>20</v>
      </c>
      <c r="F9" s="6" t="s">
        <v>21</v>
      </c>
      <c r="G9" s="66">
        <f>0.0073</f>
        <v>7.3000000000000001E-3</v>
      </c>
      <c r="H9" s="6">
        <v>2</v>
      </c>
      <c r="I9" s="83">
        <f t="shared" si="0"/>
        <v>1.46E-2</v>
      </c>
      <c r="K9" s="1" t="s">
        <v>92</v>
      </c>
      <c r="L9" s="49" t="s">
        <v>93</v>
      </c>
      <c r="M9" s="79">
        <f>1</f>
        <v>1</v>
      </c>
      <c r="N9" s="44">
        <v>1</v>
      </c>
      <c r="O9" s="81">
        <f t="shared" si="1"/>
        <v>1</v>
      </c>
      <c r="Q9" s="14">
        <v>347.47500000000002</v>
      </c>
    </row>
    <row r="10" spans="1:18" ht="14.4" customHeight="1" x14ac:dyDescent="0.3">
      <c r="A10" s="1" t="s">
        <v>71</v>
      </c>
      <c r="B10" s="4" t="s">
        <v>72</v>
      </c>
      <c r="C10" s="85">
        <f>4*4*236*7.5</f>
        <v>28320</v>
      </c>
      <c r="D10" s="4"/>
      <c r="E10" s="1" t="s">
        <v>22</v>
      </c>
      <c r="F10" s="4" t="s">
        <v>23</v>
      </c>
      <c r="G10" s="66">
        <v>1.12E-2</v>
      </c>
      <c r="H10" s="4">
        <v>1</v>
      </c>
      <c r="I10" s="83">
        <f t="shared" si="0"/>
        <v>1.12E-2</v>
      </c>
      <c r="K10" s="1" t="s">
        <v>94</v>
      </c>
      <c r="L10" s="49">
        <v>22013047</v>
      </c>
      <c r="M10" s="79">
        <f>0.26</f>
        <v>0.26</v>
      </c>
      <c r="N10" s="44">
        <v>2</v>
      </c>
      <c r="O10" s="81">
        <f t="shared" si="1"/>
        <v>0.52</v>
      </c>
    </row>
    <row r="11" spans="1:18" ht="14.4" customHeight="1" x14ac:dyDescent="0.3">
      <c r="A11" s="1" t="s">
        <v>58</v>
      </c>
      <c r="B11" s="25" t="s">
        <v>59</v>
      </c>
      <c r="C11" s="85">
        <f>75000/Q15</f>
        <v>91.779045008443674</v>
      </c>
      <c r="D11" s="5"/>
      <c r="E11" s="1" t="s">
        <v>24</v>
      </c>
      <c r="F11" s="4" t="s">
        <v>25</v>
      </c>
      <c r="G11" s="66">
        <v>7.3000000000000001E-3</v>
      </c>
      <c r="H11" s="4">
        <v>1</v>
      </c>
      <c r="I11" s="83">
        <f t="shared" si="0"/>
        <v>7.3000000000000001E-3</v>
      </c>
      <c r="K11" s="1" t="s">
        <v>95</v>
      </c>
      <c r="L11" s="49">
        <v>22232041</v>
      </c>
      <c r="M11" s="79">
        <f>0.45</f>
        <v>0.45</v>
      </c>
      <c r="N11" s="44">
        <v>2</v>
      </c>
      <c r="O11" s="81">
        <f t="shared" si="1"/>
        <v>0.9</v>
      </c>
      <c r="Q11" s="5" t="s">
        <v>38</v>
      </c>
    </row>
    <row r="12" spans="1:18" x14ac:dyDescent="0.3">
      <c r="A12" s="22" t="s">
        <v>60</v>
      </c>
      <c r="B12" s="28" t="s">
        <v>59</v>
      </c>
      <c r="C12" s="86">
        <f>490000/Q15</f>
        <v>599.62309405516532</v>
      </c>
      <c r="E12" s="1" t="s">
        <v>26</v>
      </c>
      <c r="F12" s="4" t="s">
        <v>27</v>
      </c>
      <c r="G12" s="66">
        <v>0.16028000000000001</v>
      </c>
      <c r="H12" s="7">
        <f>4</f>
        <v>4</v>
      </c>
      <c r="I12" s="83">
        <f t="shared" si="0"/>
        <v>0.64112000000000002</v>
      </c>
      <c r="K12" s="1" t="s">
        <v>96</v>
      </c>
      <c r="L12" s="49" t="s">
        <v>97</v>
      </c>
      <c r="M12" s="79">
        <f>0.27</f>
        <v>0.27</v>
      </c>
      <c r="N12" s="44">
        <v>2</v>
      </c>
      <c r="O12" s="81">
        <f t="shared" si="1"/>
        <v>0.54</v>
      </c>
      <c r="Q12" s="14">
        <v>346.78300000000002</v>
      </c>
    </row>
    <row r="13" spans="1:18" x14ac:dyDescent="0.3">
      <c r="A13" s="26" t="s">
        <v>41</v>
      </c>
      <c r="B13" s="27"/>
      <c r="C13" s="87">
        <f>SUM(C3:C12)</f>
        <v>29330.320372727783</v>
      </c>
      <c r="E13" s="1" t="s">
        <v>28</v>
      </c>
      <c r="F13" s="6" t="s">
        <v>45</v>
      </c>
      <c r="G13" s="66">
        <f>589/Q15</f>
        <v>0.72077143346631101</v>
      </c>
      <c r="H13" s="6">
        <v>2</v>
      </c>
      <c r="I13" s="83">
        <f t="shared" si="0"/>
        <v>1.441542866932622</v>
      </c>
      <c r="K13" s="1" t="s">
        <v>30</v>
      </c>
      <c r="L13" s="49" t="s">
        <v>31</v>
      </c>
      <c r="M13" s="79">
        <f>19.8</f>
        <v>19.8</v>
      </c>
      <c r="N13" s="48">
        <v>0.2</v>
      </c>
      <c r="O13" s="81">
        <f>N13*M13</f>
        <v>3.9600000000000004</v>
      </c>
    </row>
    <row r="14" spans="1:18" x14ac:dyDescent="0.3">
      <c r="E14" s="1" t="s">
        <v>29</v>
      </c>
      <c r="F14" s="18" t="s">
        <v>46</v>
      </c>
      <c r="G14" s="66">
        <f>89000/Q15</f>
        <v>108.91113341001983</v>
      </c>
      <c r="H14" s="15">
        <f>3/750</f>
        <v>4.0000000000000001E-3</v>
      </c>
      <c r="I14" s="83">
        <f t="shared" si="0"/>
        <v>0.43564453364007932</v>
      </c>
      <c r="K14" s="1" t="s">
        <v>98</v>
      </c>
      <c r="L14" s="49" t="s">
        <v>99</v>
      </c>
      <c r="M14" s="80">
        <f>(12167/40)/Q15</f>
        <v>0.37222521353924476</v>
      </c>
      <c r="N14" s="44">
        <v>1</v>
      </c>
      <c r="O14" s="81">
        <f t="shared" si="1"/>
        <v>0.37222521353924476</v>
      </c>
      <c r="Q14" s="5" t="s">
        <v>35</v>
      </c>
    </row>
    <row r="15" spans="1:18" x14ac:dyDescent="0.3">
      <c r="E15" s="9" t="s">
        <v>30</v>
      </c>
      <c r="F15" s="10" t="s">
        <v>31</v>
      </c>
      <c r="G15" s="66">
        <f>27.55</f>
        <v>27.55</v>
      </c>
      <c r="H15" s="8">
        <v>0.01</v>
      </c>
      <c r="I15" s="83">
        <f t="shared" si="0"/>
        <v>0.27550000000000002</v>
      </c>
      <c r="K15" s="1" t="s">
        <v>100</v>
      </c>
      <c r="L15" s="49" t="s">
        <v>101</v>
      </c>
      <c r="M15" s="80">
        <f>1560/Q15</f>
        <v>1.9090041361756285</v>
      </c>
      <c r="N15" s="44">
        <v>4</v>
      </c>
      <c r="O15" s="81">
        <f t="shared" si="1"/>
        <v>7.6360165447025139</v>
      </c>
      <c r="Q15" s="14">
        <v>817.18</v>
      </c>
    </row>
    <row r="16" spans="1:18" x14ac:dyDescent="0.3">
      <c r="E16" s="9" t="s">
        <v>43</v>
      </c>
      <c r="F16" s="10" t="s">
        <v>47</v>
      </c>
      <c r="G16" s="66">
        <f>7.5</f>
        <v>7.5</v>
      </c>
      <c r="H16" s="17">
        <v>0.5</v>
      </c>
      <c r="I16" s="83">
        <f t="shared" si="0"/>
        <v>3.75</v>
      </c>
      <c r="K16" s="1" t="s">
        <v>102</v>
      </c>
      <c r="L16" s="49" t="s">
        <v>103</v>
      </c>
      <c r="M16" s="79">
        <f>2760/Q15</f>
        <v>3.3774688563107271</v>
      </c>
      <c r="N16" s="44">
        <v>1</v>
      </c>
      <c r="O16" s="81">
        <f t="shared" si="1"/>
        <v>3.3774688563107271</v>
      </c>
    </row>
    <row r="17" spans="5:16" x14ac:dyDescent="0.3">
      <c r="E17" s="9" t="s">
        <v>44</v>
      </c>
      <c r="F17" s="6" t="s">
        <v>47</v>
      </c>
      <c r="G17" s="66">
        <f>7.5</f>
        <v>7.5</v>
      </c>
      <c r="H17" s="6">
        <v>0.5</v>
      </c>
      <c r="I17" s="83">
        <f t="shared" si="0"/>
        <v>3.75</v>
      </c>
      <c r="K17" s="1" t="s">
        <v>104</v>
      </c>
      <c r="L17" s="49" t="s">
        <v>105</v>
      </c>
      <c r="M17" s="79">
        <f>(15444/20)/Q15</f>
        <v>0.9449570474069362</v>
      </c>
      <c r="N17" s="44">
        <v>2</v>
      </c>
      <c r="O17" s="81">
        <f t="shared" si="1"/>
        <v>1.8899140948138724</v>
      </c>
    </row>
    <row r="18" spans="5:16" x14ac:dyDescent="0.3">
      <c r="E18" s="11" t="s">
        <v>42</v>
      </c>
      <c r="F18" s="12"/>
      <c r="G18" s="12"/>
      <c r="H18" s="12"/>
      <c r="I18" s="84">
        <f>SUM(I3:I17)</f>
        <v>12.943307400572701</v>
      </c>
      <c r="K18" s="1" t="s">
        <v>106</v>
      </c>
      <c r="L18" s="49" t="s">
        <v>106</v>
      </c>
      <c r="M18" s="79">
        <f>(5251/10)/Q15</f>
        <v>0.64257568711911706</v>
      </c>
      <c r="N18" s="44">
        <v>2</v>
      </c>
      <c r="O18" s="81">
        <f t="shared" si="1"/>
        <v>1.2851513742382341</v>
      </c>
    </row>
    <row r="19" spans="5:16" x14ac:dyDescent="0.3">
      <c r="K19" s="1" t="s">
        <v>107</v>
      </c>
      <c r="L19" s="49" t="s">
        <v>108</v>
      </c>
      <c r="M19" s="79">
        <f>(1691/50)/Q15</f>
        <v>4.1386230695807533E-2</v>
      </c>
      <c r="N19" s="44">
        <v>2</v>
      </c>
      <c r="O19" s="81">
        <f t="shared" si="1"/>
        <v>8.2772461391615065E-2</v>
      </c>
    </row>
    <row r="20" spans="5:16" x14ac:dyDescent="0.3">
      <c r="K20" s="1" t="s">
        <v>109</v>
      </c>
      <c r="L20" s="49" t="s">
        <v>110</v>
      </c>
      <c r="M20" s="79">
        <f>16200/Q15</f>
        <v>19.824273721823836</v>
      </c>
      <c r="N20" s="44">
        <v>0.04</v>
      </c>
      <c r="O20" s="81">
        <f t="shared" si="1"/>
        <v>0.7929709488729535</v>
      </c>
    </row>
    <row r="21" spans="5:16" x14ac:dyDescent="0.3">
      <c r="K21" s="1" t="s">
        <v>112</v>
      </c>
      <c r="L21" s="49" t="s">
        <v>113</v>
      </c>
      <c r="M21" s="79">
        <f>7.5</f>
        <v>7.5</v>
      </c>
      <c r="N21" s="44">
        <v>2</v>
      </c>
      <c r="O21" s="81">
        <f t="shared" si="1"/>
        <v>15</v>
      </c>
    </row>
    <row r="22" spans="5:16" x14ac:dyDescent="0.3">
      <c r="K22" s="11" t="s">
        <v>111</v>
      </c>
      <c r="L22" s="12"/>
      <c r="M22" s="12"/>
      <c r="N22" s="12"/>
      <c r="O22" s="82">
        <f>SUM(O3:O21)</f>
        <v>54.976747595389028</v>
      </c>
    </row>
    <row r="25" spans="5:16" x14ac:dyDescent="0.3">
      <c r="P25" s="51"/>
    </row>
  </sheetData>
  <mergeCells count="3">
    <mergeCell ref="E1:I1"/>
    <mergeCell ref="K1:O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6" sqref="D6:G9"/>
    </sheetView>
  </sheetViews>
  <sheetFormatPr baseColWidth="10" defaultRowHeight="14.4" x14ac:dyDescent="0.3"/>
  <cols>
    <col min="1" max="1" width="17" customWidth="1"/>
    <col min="2" max="2" width="13.77734375" customWidth="1"/>
    <col min="3" max="3" width="13.109375" customWidth="1"/>
    <col min="4" max="4" width="18.5546875" customWidth="1"/>
    <col min="5" max="5" width="18.21875" customWidth="1"/>
    <col min="6" max="6" width="17.33203125" customWidth="1"/>
    <col min="7" max="7" width="17.77734375" customWidth="1"/>
  </cols>
  <sheetData>
    <row r="1" spans="1:7" x14ac:dyDescent="0.3">
      <c r="A1" t="s">
        <v>54</v>
      </c>
      <c r="D1" s="59" t="s">
        <v>54</v>
      </c>
      <c r="E1" s="60"/>
      <c r="F1" s="60"/>
      <c r="G1" s="61"/>
    </row>
    <row r="2" spans="1:7" x14ac:dyDescent="0.3">
      <c r="A2" t="s">
        <v>55</v>
      </c>
      <c r="B2">
        <v>700</v>
      </c>
      <c r="D2" s="41" t="s">
        <v>115</v>
      </c>
      <c r="E2" s="46">
        <v>1</v>
      </c>
      <c r="F2" s="38">
        <v>2</v>
      </c>
      <c r="G2" s="47">
        <v>3</v>
      </c>
    </row>
    <row r="3" spans="1:7" x14ac:dyDescent="0.3">
      <c r="A3" t="s">
        <v>57</v>
      </c>
      <c r="B3" s="52">
        <v>50</v>
      </c>
      <c r="D3" s="42" t="s">
        <v>80</v>
      </c>
      <c r="E3" s="4">
        <f>INT(B2*0.75)</f>
        <v>525</v>
      </c>
      <c r="F3" s="4">
        <f>$B$2</f>
        <v>700</v>
      </c>
      <c r="G3" s="40">
        <f>$B$2</f>
        <v>700</v>
      </c>
    </row>
    <row r="4" spans="1:7" ht="15" thickBot="1" x14ac:dyDescent="0.35">
      <c r="D4" s="43" t="s">
        <v>118</v>
      </c>
      <c r="E4" s="77">
        <f>E3*$B$3</f>
        <v>26250</v>
      </c>
      <c r="F4" s="77">
        <f>F3*$B$3</f>
        <v>35000</v>
      </c>
      <c r="G4" s="78">
        <f>G3*$B$3</f>
        <v>35000</v>
      </c>
    </row>
    <row r="5" spans="1:7" ht="15" thickBot="1" x14ac:dyDescent="0.35"/>
    <row r="6" spans="1:7" x14ac:dyDescent="0.3">
      <c r="A6" t="s">
        <v>56</v>
      </c>
      <c r="D6" s="59" t="s">
        <v>56</v>
      </c>
      <c r="E6" s="60"/>
      <c r="F6" s="60"/>
      <c r="G6" s="61"/>
    </row>
    <row r="7" spans="1:7" x14ac:dyDescent="0.3">
      <c r="A7" t="s">
        <v>55</v>
      </c>
      <c r="B7">
        <v>14</v>
      </c>
      <c r="D7" s="41" t="s">
        <v>115</v>
      </c>
      <c r="E7" s="46">
        <v>1</v>
      </c>
      <c r="F7" s="38">
        <v>2</v>
      </c>
      <c r="G7" s="47">
        <v>3</v>
      </c>
    </row>
    <row r="8" spans="1:7" x14ac:dyDescent="0.3">
      <c r="A8" t="s">
        <v>57</v>
      </c>
      <c r="B8" s="14">
        <v>80</v>
      </c>
      <c r="D8" s="42" t="s">
        <v>80</v>
      </c>
      <c r="E8" s="4">
        <f>INT(B7*0.75)</f>
        <v>10</v>
      </c>
      <c r="F8" s="4">
        <f>$B$7</f>
        <v>14</v>
      </c>
      <c r="G8" s="40">
        <f>$B$7</f>
        <v>14</v>
      </c>
    </row>
    <row r="9" spans="1:7" ht="15" thickBot="1" x14ac:dyDescent="0.35">
      <c r="B9" s="29"/>
      <c r="D9" s="43" t="s">
        <v>118</v>
      </c>
      <c r="E9" s="77">
        <f>E8*$B$8</f>
        <v>800</v>
      </c>
      <c r="F9" s="77">
        <f t="shared" ref="F9" si="0">F8*$B$8</f>
        <v>1120</v>
      </c>
      <c r="G9" s="78">
        <f>G8*$B$8</f>
        <v>1120</v>
      </c>
    </row>
    <row r="10" spans="1:7" x14ac:dyDescent="0.3">
      <c r="D10" s="44"/>
      <c r="E10" s="4"/>
      <c r="F10" s="45"/>
    </row>
    <row r="11" spans="1:7" x14ac:dyDescent="0.3">
      <c r="B11" s="29"/>
    </row>
    <row r="13" spans="1:7" x14ac:dyDescent="0.3">
      <c r="B13" s="35"/>
    </row>
    <row r="14" spans="1:7" x14ac:dyDescent="0.3">
      <c r="B14" s="37"/>
    </row>
    <row r="15" spans="1:7" x14ac:dyDescent="0.3">
      <c r="B15" s="37"/>
    </row>
  </sheetData>
  <mergeCells count="2">
    <mergeCell ref="D1:G1"/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6" sqref="B6"/>
    </sheetView>
  </sheetViews>
  <sheetFormatPr baseColWidth="10" defaultRowHeight="14.4" x14ac:dyDescent="0.3"/>
  <cols>
    <col min="1" max="1" width="15.5546875" customWidth="1"/>
    <col min="2" max="2" width="13.88671875" customWidth="1"/>
    <col min="3" max="3" width="11.5546875" customWidth="1"/>
    <col min="4" max="4" width="23.109375" customWidth="1"/>
    <col min="5" max="5" width="14.77734375" customWidth="1"/>
    <col min="6" max="10" width="14.21875" bestFit="1" customWidth="1"/>
  </cols>
  <sheetData>
    <row r="1" spans="1:10" x14ac:dyDescent="0.3">
      <c r="D1" s="19" t="s">
        <v>115</v>
      </c>
      <c r="E1" s="20">
        <v>0</v>
      </c>
      <c r="F1" s="31">
        <v>1</v>
      </c>
      <c r="G1" s="20">
        <v>2</v>
      </c>
      <c r="H1" s="30">
        <v>3</v>
      </c>
      <c r="I1" s="38"/>
      <c r="J1" s="38"/>
    </row>
    <row r="2" spans="1:10" x14ac:dyDescent="0.3">
      <c r="A2" t="s">
        <v>52</v>
      </c>
      <c r="B2" s="29">
        <v>0.3</v>
      </c>
      <c r="D2" s="23" t="s">
        <v>51</v>
      </c>
      <c r="E2" s="76">
        <f>-Costos!C13</f>
        <v>-29330.320372727783</v>
      </c>
      <c r="F2" s="64" t="s">
        <v>117</v>
      </c>
      <c r="G2" s="64" t="s">
        <v>117</v>
      </c>
      <c r="H2" s="64" t="s">
        <v>117</v>
      </c>
      <c r="I2" s="39"/>
      <c r="J2" s="39"/>
    </row>
    <row r="3" spans="1:10" x14ac:dyDescent="0.3">
      <c r="A3" t="s">
        <v>114</v>
      </c>
      <c r="B3" s="63">
        <v>0.152</v>
      </c>
      <c r="D3" s="21" t="s">
        <v>49</v>
      </c>
      <c r="E3" s="75" t="s">
        <v>117</v>
      </c>
      <c r="F3" s="66">
        <f>Ingresos!E4+Ingresos!E9</f>
        <v>27050</v>
      </c>
      <c r="G3" s="65">
        <f>Ingresos!F4+Ingresos!F9</f>
        <v>36120</v>
      </c>
      <c r="H3" s="67">
        <f>Ingresos!G4+Ingresos!G9</f>
        <v>36120</v>
      </c>
      <c r="I3" s="3"/>
      <c r="J3" s="3"/>
    </row>
    <row r="4" spans="1:10" x14ac:dyDescent="0.3">
      <c r="D4" s="21" t="s">
        <v>74</v>
      </c>
      <c r="E4" s="75" t="s">
        <v>117</v>
      </c>
      <c r="F4" s="66">
        <f>-Ingresos!E3*Costos!$I$18 - Ingresos!F8*Costos!$O$22</f>
        <v>-7564.9108516361148</v>
      </c>
      <c r="G4" s="65">
        <f>-Ingresos!F3*Costos!$I$18 - Ingresos!F8*Costos!$O$22</f>
        <v>-9829.989646736336</v>
      </c>
      <c r="H4" s="68">
        <f>-Ingresos!G3*Costos!$I$18 - Ingresos!G8*Costos!$O$22</f>
        <v>-9829.989646736336</v>
      </c>
      <c r="I4" s="3"/>
      <c r="J4" s="3"/>
    </row>
    <row r="5" spans="1:10" x14ac:dyDescent="0.3">
      <c r="A5" t="s">
        <v>76</v>
      </c>
      <c r="B5" s="35">
        <f>SUM(E9:H9)</f>
        <v>8413.9828743875314</v>
      </c>
      <c r="D5" s="21" t="s">
        <v>73</v>
      </c>
      <c r="E5" s="75" t="s">
        <v>117</v>
      </c>
      <c r="F5" s="66">
        <f>F3+F4</f>
        <v>19485.089148363884</v>
      </c>
      <c r="G5" s="65">
        <f t="shared" ref="G5:H5" si="0">G3+G4</f>
        <v>26290.010353263664</v>
      </c>
      <c r="H5" s="67">
        <f t="shared" si="0"/>
        <v>26290.010353263664</v>
      </c>
      <c r="I5" s="3"/>
      <c r="J5" s="3"/>
    </row>
    <row r="6" spans="1:10" x14ac:dyDescent="0.3">
      <c r="A6" t="s">
        <v>78</v>
      </c>
      <c r="B6" s="37">
        <f>IRR(E8:H8)</f>
        <v>0.30979936983247613</v>
      </c>
      <c r="D6" s="21" t="s">
        <v>116</v>
      </c>
      <c r="E6" s="75" t="s">
        <v>117</v>
      </c>
      <c r="F6" s="66">
        <f>-$B$2*F5</f>
        <v>-5845.5267445091649</v>
      </c>
      <c r="G6" s="65">
        <f>-$B$2*G5</f>
        <v>-7887.003105979099</v>
      </c>
      <c r="H6" s="67">
        <f>-$B$2*H5</f>
        <v>-7887.003105979099</v>
      </c>
      <c r="I6" s="3"/>
      <c r="J6" s="3"/>
    </row>
    <row r="7" spans="1:10" x14ac:dyDescent="0.3">
      <c r="A7" t="s">
        <v>79</v>
      </c>
      <c r="B7" s="37">
        <f>MIRR(E8:H8,B3,B3)</f>
        <v>0.25303734415696</v>
      </c>
      <c r="D7" s="24" t="s">
        <v>50</v>
      </c>
      <c r="E7" s="75" t="s">
        <v>117</v>
      </c>
      <c r="F7" s="70">
        <f>F5+F6</f>
        <v>13639.562403854719</v>
      </c>
      <c r="G7" s="69">
        <f>G5+G6</f>
        <v>18403.007247284564</v>
      </c>
      <c r="H7" s="71">
        <f>H5+H6</f>
        <v>18403.007247284564</v>
      </c>
      <c r="I7" s="3"/>
      <c r="J7" s="3"/>
    </row>
    <row r="8" spans="1:10" ht="15" thickBot="1" x14ac:dyDescent="0.35">
      <c r="D8" s="62" t="s">
        <v>53</v>
      </c>
      <c r="E8" s="72">
        <f>E2</f>
        <v>-29330.320372727783</v>
      </c>
      <c r="F8" s="66">
        <f>F7</f>
        <v>13639.562403854719</v>
      </c>
      <c r="G8" s="72">
        <f>G7</f>
        <v>18403.007247284564</v>
      </c>
      <c r="H8" s="67">
        <f>H7</f>
        <v>18403.007247284564</v>
      </c>
      <c r="I8" s="3"/>
      <c r="J8" s="3"/>
    </row>
    <row r="9" spans="1:10" ht="15" thickBot="1" x14ac:dyDescent="0.35">
      <c r="D9" s="36" t="s">
        <v>77</v>
      </c>
      <c r="E9" s="73">
        <f>E8/(1+$B$3)^E1</f>
        <v>-29330.320372727783</v>
      </c>
      <c r="F9" s="73">
        <f>F8/(1+$B$3)^F1</f>
        <v>11839.897920012778</v>
      </c>
      <c r="G9" s="73">
        <f>G8/(1+$B$3)^G1</f>
        <v>13867.042256887604</v>
      </c>
      <c r="H9" s="74">
        <f>H8/(1+$B$3)^H1</f>
        <v>12037.363070214935</v>
      </c>
      <c r="I9" s="3"/>
      <c r="J9" s="3"/>
    </row>
    <row r="12" spans="1:10" x14ac:dyDescent="0.3">
      <c r="D12" s="50"/>
    </row>
    <row r="20" spans="4:4" x14ac:dyDescent="0.3">
      <c r="D20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Ingresos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2024-02-05T00:42:07Z</dcterms:created>
  <dcterms:modified xsi:type="dcterms:W3CDTF">2024-02-06T19:37:18Z</dcterms:modified>
</cp:coreProperties>
</file>