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Documentación\Factibilidad económica\"/>
    </mc:Choice>
  </mc:AlternateContent>
  <bookViews>
    <workbookView xWindow="0" yWindow="0" windowWidth="23040" windowHeight="9192"/>
  </bookViews>
  <sheets>
    <sheet name="Costos" sheetId="1" r:id="rId1"/>
    <sheet name="Ingresos" sheetId="3" r:id="rId2"/>
    <sheet name="Flujo de caj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/>
  <c r="F3" i="2"/>
  <c r="F9" i="3"/>
  <c r="G9" i="3"/>
  <c r="E9" i="3"/>
  <c r="G8" i="3"/>
  <c r="F8" i="3"/>
  <c r="E8" i="3"/>
  <c r="G3" i="3"/>
  <c r="G4" i="3" s="1"/>
  <c r="F3" i="3"/>
  <c r="F4" i="3"/>
  <c r="E3" i="3"/>
  <c r="E4" i="3" s="1"/>
  <c r="E2" i="2"/>
  <c r="E5" i="2" l="1"/>
  <c r="E8" i="2"/>
  <c r="E9" i="2" s="1"/>
  <c r="M14" i="1"/>
  <c r="M13" i="1"/>
  <c r="O13" i="1" s="1"/>
  <c r="C13" i="1"/>
  <c r="C4" i="1"/>
  <c r="C5" i="1"/>
  <c r="C6" i="1"/>
  <c r="C7" i="1"/>
  <c r="C8" i="1"/>
  <c r="C10" i="1"/>
  <c r="C9" i="1"/>
  <c r="C12" i="1"/>
  <c r="C11" i="1"/>
  <c r="C3" i="1"/>
  <c r="E4" i="2"/>
  <c r="M17" i="1" l="1"/>
  <c r="O17" i="1" s="1"/>
  <c r="M16" i="1"/>
  <c r="O16" i="1" s="1"/>
  <c r="M15" i="1"/>
  <c r="O15" i="1" s="1"/>
  <c r="N14" i="1"/>
  <c r="N12" i="1"/>
  <c r="O12" i="1" s="1"/>
  <c r="O11" i="1"/>
  <c r="O10" i="1"/>
  <c r="M9" i="1"/>
  <c r="O9" i="1" s="1"/>
  <c r="M8" i="1"/>
  <c r="O8" i="1" s="1"/>
  <c r="O7" i="1"/>
  <c r="O6" i="1"/>
  <c r="O5" i="1"/>
  <c r="O4" i="1"/>
  <c r="O3" i="1"/>
  <c r="G13" i="1"/>
  <c r="I13" i="1" s="1"/>
  <c r="H12" i="1"/>
  <c r="I12" i="1" s="1"/>
  <c r="G17" i="1"/>
  <c r="I17" i="1" s="1"/>
  <c r="G16" i="1"/>
  <c r="I16" i="1" s="1"/>
  <c r="G14" i="1"/>
  <c r="H14" i="1"/>
  <c r="G15" i="1"/>
  <c r="I15" i="1" s="1"/>
  <c r="I11" i="1"/>
  <c r="I10" i="1"/>
  <c r="G9" i="1"/>
  <c r="I9" i="1" s="1"/>
  <c r="G8" i="1"/>
  <c r="I7" i="1"/>
  <c r="I6" i="1"/>
  <c r="I5" i="1"/>
  <c r="I4" i="1"/>
  <c r="I3" i="1"/>
  <c r="O14" i="1" l="1"/>
  <c r="O18" i="1" s="1"/>
  <c r="I14" i="1"/>
  <c r="I8" i="1"/>
  <c r="I18" i="1" l="1"/>
  <c r="F4" i="2" l="1"/>
  <c r="F5" i="2" s="1"/>
  <c r="F6" i="2" s="1"/>
  <c r="F7" i="2" s="1"/>
  <c r="F8" i="2" s="1"/>
  <c r="G4" i="2"/>
  <c r="G5" i="2" s="1"/>
  <c r="G6" i="2" s="1"/>
  <c r="G7" i="2" s="1"/>
  <c r="G8" i="2" s="1"/>
  <c r="G9" i="2" s="1"/>
  <c r="H4" i="2"/>
  <c r="H5" i="2" s="1"/>
  <c r="H6" i="2" s="1"/>
  <c r="H7" i="2" s="1"/>
  <c r="H8" i="2" s="1"/>
  <c r="H9" i="2" s="1"/>
  <c r="F9" i="2" l="1"/>
  <c r="B5" i="2" s="1"/>
  <c r="B6" i="2"/>
  <c r="B7" i="2"/>
</calcChain>
</file>

<file path=xl/sharedStrings.xml><?xml version="1.0" encoding="utf-8"?>
<sst xmlns="http://schemas.openxmlformats.org/spreadsheetml/2006/main" count="133" uniqueCount="87">
  <si>
    <t>Placa desarrollo MSP</t>
  </si>
  <si>
    <t>Resina Epoxi</t>
  </si>
  <si>
    <t>Resina Epoxi 2</t>
  </si>
  <si>
    <t>Pilas x70</t>
  </si>
  <si>
    <t>Componente</t>
  </si>
  <si>
    <t>Part Number</t>
  </si>
  <si>
    <t>Cantidad</t>
  </si>
  <si>
    <t>Acumulado</t>
  </si>
  <si>
    <t>Microprocesador</t>
  </si>
  <si>
    <t>MSP430FR2476TRHBR</t>
  </si>
  <si>
    <t>Diodo Schottky</t>
  </si>
  <si>
    <t>CDBQR70</t>
  </si>
  <si>
    <t>Diodo Rectificador</t>
  </si>
  <si>
    <t>1N4148WL2-TP</t>
  </si>
  <si>
    <t>LED Verde</t>
  </si>
  <si>
    <t>LTST-C171GKT</t>
  </si>
  <si>
    <t>Capacitor 100n</t>
  </si>
  <si>
    <t>CL05B104KP5VPNC</t>
  </si>
  <si>
    <t>Capacitor 4.7n</t>
  </si>
  <si>
    <t>C0402C472K5RECAUTO</t>
  </si>
  <si>
    <t>RES100</t>
  </si>
  <si>
    <t>RC0402FR-07100RL</t>
  </si>
  <si>
    <t>RES47K</t>
  </si>
  <si>
    <t>ERJ-2GEJ473X</t>
  </si>
  <si>
    <t>RES2K2</t>
  </si>
  <si>
    <t>RC0402FR-072K2L</t>
  </si>
  <si>
    <t>Pines</t>
  </si>
  <si>
    <t>6136-0-00-15-00-00-03-0</t>
  </si>
  <si>
    <t>Pilas</t>
  </si>
  <si>
    <t>Resina</t>
  </si>
  <si>
    <t>Placa</t>
  </si>
  <si>
    <t>JLCPCB</t>
  </si>
  <si>
    <t>Costos Logger</t>
  </si>
  <si>
    <t>Costos desarrollo</t>
  </si>
  <si>
    <t>Acrílico</t>
  </si>
  <si>
    <t>Dólar oficial compra FEB</t>
  </si>
  <si>
    <t>Dólar oficial compra JUN</t>
  </si>
  <si>
    <t>Dólar oficial compra JUL</t>
  </si>
  <si>
    <t>Dólar oficial compra SEP</t>
  </si>
  <si>
    <t>Dólar oficial compra AGO</t>
  </si>
  <si>
    <t>Descripción</t>
  </si>
  <si>
    <t>Costo</t>
  </si>
  <si>
    <t>Precio Unitario</t>
  </si>
  <si>
    <t>Total desarrollo</t>
  </si>
  <si>
    <t>Total Logger</t>
  </si>
  <si>
    <t>Mano de obra - Soldado</t>
  </si>
  <si>
    <t>Mano de obra - Poteo</t>
  </si>
  <si>
    <t>SR626</t>
  </si>
  <si>
    <t>Epoxi transparente</t>
  </si>
  <si>
    <t>2 unidades/h</t>
  </si>
  <si>
    <t>Costos Base</t>
  </si>
  <si>
    <t>ESTADO DE RESULTADOS</t>
  </si>
  <si>
    <t>Ventas</t>
  </si>
  <si>
    <t>Utilidad Neta</t>
  </si>
  <si>
    <t>Inversión</t>
  </si>
  <si>
    <t>Impuestos</t>
  </si>
  <si>
    <t>Flujo de caja</t>
  </si>
  <si>
    <t>Loggers</t>
  </si>
  <si>
    <t>Demanda anual</t>
  </si>
  <si>
    <t>Bases</t>
  </si>
  <si>
    <t>Precio unitario</t>
  </si>
  <si>
    <t>Estación de soldado</t>
  </si>
  <si>
    <t xml:space="preserve"> Herramienta para fabricación </t>
  </si>
  <si>
    <t>Impresora 3D</t>
  </si>
  <si>
    <t>Concepto</t>
  </si>
  <si>
    <t>Compra componentes 1</t>
  </si>
  <si>
    <t>Componentes para análisis de alternativas</t>
  </si>
  <si>
    <t>Placa de desarrollo para pruebas de firmware</t>
  </si>
  <si>
    <t>Acrílico para pruebas de poteo</t>
  </si>
  <si>
    <t>Resina para pruebas de poteo</t>
  </si>
  <si>
    <t>Compra componentes 2</t>
  </si>
  <si>
    <t>Componentes para fabricar prototipos</t>
  </si>
  <si>
    <t>Resina para potear prototipos</t>
  </si>
  <si>
    <t>Pilas para prototipos</t>
  </si>
  <si>
    <t>4 Pasantes</t>
  </si>
  <si>
    <t>Part-time 4hs/día durante 236 días a USD 7.5/hr</t>
  </si>
  <si>
    <t>Utilida Bruta</t>
  </si>
  <si>
    <t>Costos Variables</t>
  </si>
  <si>
    <t xml:space="preserve"> </t>
  </si>
  <si>
    <t>TREMA</t>
  </si>
  <si>
    <t>VAN</t>
  </si>
  <si>
    <t>VA</t>
  </si>
  <si>
    <t>TIR</t>
  </si>
  <si>
    <t>TIRM</t>
  </si>
  <si>
    <t>Período</t>
  </si>
  <si>
    <t>Cantidad de ventas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</si>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</sst>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\ * #,##0.00_-;\-&quot;$&quot;\ * #,##0.00_-;_-&quot;$&quot;\ * &quot;-&quot;??_-;_-@_-"/>
    <numFmt numFmtId="164" formatCode="_-[$USD]\ * #,##0.00_-;\-[$USD]\ * #,##0.00_-;_-[$USD]\ * &quot;-&quot;??_-;_-@_-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2" xfId="0" applyBorder="1"/>
    <xf numFmtId="44" fontId="0" fillId="0" borderId="0" xfId="1" applyFont="1" applyBorder="1"/>
    <xf numFmtId="164" fontId="0" fillId="0" borderId="0" xfId="1" applyNumberFormat="1" applyFont="1" applyBorder="1"/>
    <xf numFmtId="0" fontId="0" fillId="0" borderId="0" xfId="0" applyBorder="1"/>
    <xf numFmtId="0" fontId="3" fillId="0" borderId="0" xfId="0" applyFont="1"/>
    <xf numFmtId="164" fontId="0" fillId="0" borderId="3" xfId="1" applyNumberFormat="1" applyFont="1" applyBorder="1"/>
    <xf numFmtId="0" fontId="0" fillId="0" borderId="0" xfId="0" applyFill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2" xfId="0" applyFill="1" applyBorder="1"/>
    <xf numFmtId="0" fontId="5" fillId="0" borderId="0" xfId="2" applyFont="1" applyFill="1" applyBorder="1"/>
    <xf numFmtId="0" fontId="3" fillId="0" borderId="6" xfId="0" applyFont="1" applyBorder="1"/>
    <xf numFmtId="0" fontId="0" fillId="0" borderId="7" xfId="0" applyBorder="1"/>
    <xf numFmtId="0" fontId="3" fillId="0" borderId="0" xfId="0" applyFont="1" applyBorder="1"/>
    <xf numFmtId="164" fontId="0" fillId="0" borderId="3" xfId="0" applyNumberFormat="1" applyBorder="1"/>
    <xf numFmtId="44" fontId="0" fillId="0" borderId="0" xfId="1" applyFont="1"/>
    <xf numFmtId="165" fontId="0" fillId="0" borderId="0" xfId="0" applyNumberFormat="1" applyBorder="1"/>
    <xf numFmtId="44" fontId="6" fillId="0" borderId="0" xfId="1" applyFont="1"/>
    <xf numFmtId="164" fontId="3" fillId="0" borderId="8" xfId="1" applyNumberFormat="1" applyFont="1" applyFill="1" applyBorder="1"/>
    <xf numFmtId="166" fontId="0" fillId="0" borderId="0" xfId="0" applyNumberFormat="1" applyBorder="1"/>
    <xf numFmtId="0" fontId="5" fillId="0" borderId="0" xfId="3" applyFont="1" applyBorder="1"/>
    <xf numFmtId="0" fontId="3" fillId="0" borderId="9" xfId="0" applyFont="1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4" xfId="0" applyBorder="1"/>
    <xf numFmtId="0" fontId="0" fillId="0" borderId="22" xfId="0" applyFont="1" applyBorder="1"/>
    <xf numFmtId="0" fontId="0" fillId="0" borderId="24" xfId="0" applyBorder="1"/>
    <xf numFmtId="0" fontId="0" fillId="0" borderId="0" xfId="0" applyBorder="1" applyAlignment="1"/>
    <xf numFmtId="0" fontId="3" fillId="0" borderId="4" xfId="0" applyFont="1" applyBorder="1"/>
    <xf numFmtId="0" fontId="3" fillId="0" borderId="21" xfId="0" applyFont="1" applyBorder="1"/>
    <xf numFmtId="164" fontId="3" fillId="0" borderId="5" xfId="0" applyNumberFormat="1" applyFont="1" applyBorder="1"/>
    <xf numFmtId="0" fontId="0" fillId="0" borderId="21" xfId="0" applyBorder="1" applyAlignment="1"/>
    <xf numFmtId="164" fontId="0" fillId="0" borderId="5" xfId="0" applyNumberFormat="1" applyBorder="1"/>
    <xf numFmtId="9" fontId="0" fillId="0" borderId="0" xfId="4" applyFont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0" borderId="7" xfId="0" applyFont="1" applyBorder="1"/>
    <xf numFmtId="0" fontId="3" fillId="0" borderId="7" xfId="1" applyNumberFormat="1" applyFont="1" applyBorder="1"/>
    <xf numFmtId="0" fontId="3" fillId="0" borderId="8" xfId="0" applyFont="1" applyBorder="1"/>
    <xf numFmtId="0" fontId="0" fillId="0" borderId="11" xfId="0" applyFill="1" applyBorder="1"/>
    <xf numFmtId="44" fontId="0" fillId="0" borderId="0" xfId="0" applyNumberFormat="1"/>
    <xf numFmtId="164" fontId="0" fillId="0" borderId="17" xfId="1" applyNumberFormat="1" applyFont="1" applyBorder="1" applyAlignment="1">
      <alignment horizontal="center"/>
    </xf>
    <xf numFmtId="164" fontId="0" fillId="0" borderId="20" xfId="1" applyNumberFormat="1" applyFont="1" applyBorder="1" applyAlignment="1">
      <alignment horizontal="center"/>
    </xf>
    <xf numFmtId="164" fontId="0" fillId="0" borderId="12" xfId="1" applyNumberFormat="1" applyFont="1" applyBorder="1"/>
    <xf numFmtId="164" fontId="0" fillId="0" borderId="19" xfId="1" applyNumberFormat="1" applyFont="1" applyBorder="1"/>
    <xf numFmtId="164" fontId="0" fillId="0" borderId="21" xfId="1" applyNumberFormat="1" applyFont="1" applyBorder="1"/>
    <xf numFmtId="0" fontId="0" fillId="0" borderId="28" xfId="0" applyFill="1" applyBorder="1"/>
    <xf numFmtId="164" fontId="0" fillId="0" borderId="29" xfId="1" applyNumberFormat="1" applyFont="1" applyBorder="1"/>
    <xf numFmtId="164" fontId="0" fillId="0" borderId="30" xfId="1" applyNumberFormat="1" applyFont="1" applyBorder="1"/>
    <xf numFmtId="164" fontId="0" fillId="0" borderId="17" xfId="1" applyNumberFormat="1" applyFont="1" applyBorder="1"/>
    <xf numFmtId="164" fontId="0" fillId="0" borderId="13" xfId="1" applyNumberFormat="1" applyFont="1" applyBorder="1"/>
    <xf numFmtId="164" fontId="0" fillId="0" borderId="31" xfId="1" applyNumberFormat="1" applyFont="1" applyBorder="1"/>
    <xf numFmtId="9" fontId="0" fillId="0" borderId="0" xfId="0" applyNumberFormat="1"/>
    <xf numFmtId="164" fontId="0" fillId="0" borderId="23" xfId="1" applyNumberFormat="1" applyFont="1" applyBorder="1" applyAlignment="1">
      <alignment horizontal="center"/>
    </xf>
    <xf numFmtId="164" fontId="0" fillId="0" borderId="25" xfId="1" applyNumberFormat="1" applyFont="1" applyBorder="1"/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1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Border="1" applyAlignment="1">
      <alignment horizontal="right"/>
    </xf>
    <xf numFmtId="44" fontId="0" fillId="0" borderId="0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</cellXfs>
  <cellStyles count="5">
    <cellStyle name="Entrada" xfId="2" builtinId="20"/>
    <cellStyle name="Hipervínculo" xfId="3" builtinId="8"/>
    <cellStyle name="Moneda" xfId="1" builtinId="4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topLeftCell="B1" workbookViewId="0">
      <selection activeCell="H22" sqref="H22"/>
    </sheetView>
  </sheetViews>
  <sheetFormatPr baseColWidth="10" defaultRowHeight="14.4" x14ac:dyDescent="0.3"/>
  <cols>
    <col min="1" max="1" width="21" customWidth="1"/>
    <col min="2" max="2" width="40.109375" customWidth="1"/>
    <col min="3" max="3" width="16" customWidth="1"/>
    <col min="5" max="5" width="21.5546875" customWidth="1"/>
    <col min="6" max="6" width="22.21875" customWidth="1"/>
    <col min="7" max="7" width="13.5546875" customWidth="1"/>
    <col min="8" max="8" width="8.6640625" customWidth="1"/>
    <col min="9" max="9" width="14.21875" customWidth="1"/>
    <col min="11" max="11" width="23" customWidth="1"/>
    <col min="12" max="12" width="22" customWidth="1"/>
    <col min="13" max="13" width="13.33203125" customWidth="1"/>
    <col min="14" max="14" width="8.33203125" customWidth="1"/>
  </cols>
  <sheetData>
    <row r="1" spans="1:18" x14ac:dyDescent="0.3">
      <c r="A1" s="71" t="s">
        <v>33</v>
      </c>
      <c r="B1" s="72"/>
      <c r="C1" s="73"/>
      <c r="E1" s="68" t="s">
        <v>32</v>
      </c>
      <c r="F1" s="69"/>
      <c r="G1" s="69"/>
      <c r="H1" s="69"/>
      <c r="I1" s="70"/>
      <c r="K1" s="68" t="s">
        <v>50</v>
      </c>
      <c r="L1" s="69"/>
      <c r="M1" s="69"/>
      <c r="N1" s="69"/>
      <c r="O1" s="70"/>
      <c r="R1" t="s">
        <v>78</v>
      </c>
    </row>
    <row r="2" spans="1:18" x14ac:dyDescent="0.3">
      <c r="A2" s="12" t="s">
        <v>64</v>
      </c>
      <c r="B2" s="37" t="s">
        <v>40</v>
      </c>
      <c r="C2" s="39" t="s">
        <v>41</v>
      </c>
      <c r="D2" s="14"/>
      <c r="E2" s="12" t="s">
        <v>4</v>
      </c>
      <c r="F2" s="37" t="s">
        <v>5</v>
      </c>
      <c r="G2" s="38" t="s">
        <v>42</v>
      </c>
      <c r="H2" s="37" t="s">
        <v>6</v>
      </c>
      <c r="I2" s="39" t="s">
        <v>7</v>
      </c>
      <c r="K2" s="12" t="s">
        <v>4</v>
      </c>
      <c r="L2" s="37" t="s">
        <v>5</v>
      </c>
      <c r="M2" s="38" t="s">
        <v>42</v>
      </c>
      <c r="N2" s="37" t="s">
        <v>6</v>
      </c>
      <c r="O2" s="39" t="s">
        <v>7</v>
      </c>
      <c r="Q2" s="5" t="s">
        <v>36</v>
      </c>
    </row>
    <row r="3" spans="1:18" x14ac:dyDescent="0.3">
      <c r="A3" s="1" t="s">
        <v>65</v>
      </c>
      <c r="B3" s="4" t="s">
        <v>66</v>
      </c>
      <c r="C3" s="15">
        <f>43.49</f>
        <v>43.49</v>
      </c>
      <c r="D3" s="2"/>
      <c r="E3" s="1" t="s">
        <v>8</v>
      </c>
      <c r="F3" s="4" t="s">
        <v>9</v>
      </c>
      <c r="G3" s="3">
        <v>2.0541999999999998</v>
      </c>
      <c r="H3" s="4">
        <v>1</v>
      </c>
      <c r="I3" s="6">
        <f t="shared" ref="I3:I17" si="0">H3*G3</f>
        <v>2.0541999999999998</v>
      </c>
      <c r="K3" s="1" t="s">
        <v>8</v>
      </c>
      <c r="L3" s="4" t="s">
        <v>9</v>
      </c>
      <c r="M3" s="3">
        <v>2.0541999999999998</v>
      </c>
      <c r="N3" s="4">
        <v>1</v>
      </c>
      <c r="O3" s="6">
        <f t="shared" ref="O3:O17" si="1">N3*M3</f>
        <v>2.0541999999999998</v>
      </c>
      <c r="Q3" s="16">
        <v>255.81200000000001</v>
      </c>
    </row>
    <row r="4" spans="1:18" x14ac:dyDescent="0.3">
      <c r="A4" s="1" t="s">
        <v>0</v>
      </c>
      <c r="B4" s="4" t="s">
        <v>67</v>
      </c>
      <c r="C4" s="15">
        <f>19.94</f>
        <v>19.940000000000001</v>
      </c>
      <c r="D4" s="2"/>
      <c r="E4" s="1" t="s">
        <v>10</v>
      </c>
      <c r="F4" s="4" t="s">
        <v>11</v>
      </c>
      <c r="G4" s="3">
        <v>0.13289999999999999</v>
      </c>
      <c r="H4" s="4">
        <v>2</v>
      </c>
      <c r="I4" s="6">
        <f t="shared" si="0"/>
        <v>0.26579999999999998</v>
      </c>
      <c r="K4" s="1" t="s">
        <v>10</v>
      </c>
      <c r="L4" s="4" t="s">
        <v>11</v>
      </c>
      <c r="M4" s="3">
        <v>0.13289999999999999</v>
      </c>
      <c r="N4" s="4">
        <v>2</v>
      </c>
      <c r="O4" s="6">
        <f t="shared" si="1"/>
        <v>0.26579999999999998</v>
      </c>
    </row>
    <row r="5" spans="1:18" x14ac:dyDescent="0.3">
      <c r="A5" s="1" t="s">
        <v>34</v>
      </c>
      <c r="B5" s="4" t="s">
        <v>68</v>
      </c>
      <c r="C5" s="15">
        <f>1250/Q6</f>
        <v>4.566443580676272</v>
      </c>
      <c r="D5" s="2"/>
      <c r="E5" s="1" t="s">
        <v>12</v>
      </c>
      <c r="F5" s="4" t="s">
        <v>13</v>
      </c>
      <c r="G5" s="3">
        <v>5.5599999999999997E-2</v>
      </c>
      <c r="H5" s="4">
        <v>3</v>
      </c>
      <c r="I5" s="6">
        <f t="shared" si="0"/>
        <v>0.1668</v>
      </c>
      <c r="K5" s="1" t="s">
        <v>12</v>
      </c>
      <c r="L5" s="4" t="s">
        <v>13</v>
      </c>
      <c r="M5" s="3">
        <v>5.5599999999999997E-2</v>
      </c>
      <c r="N5" s="4">
        <v>3</v>
      </c>
      <c r="O5" s="6">
        <f t="shared" si="1"/>
        <v>0.1668</v>
      </c>
      <c r="Q5" s="5" t="s">
        <v>37</v>
      </c>
    </row>
    <row r="6" spans="1:18" x14ac:dyDescent="0.3">
      <c r="A6" s="1" t="s">
        <v>1</v>
      </c>
      <c r="B6" s="4" t="s">
        <v>69</v>
      </c>
      <c r="C6" s="15">
        <f>13700/Q9</f>
        <v>39.42729692783653</v>
      </c>
      <c r="D6" s="4"/>
      <c r="E6" s="1" t="s">
        <v>14</v>
      </c>
      <c r="F6" s="4" t="s">
        <v>15</v>
      </c>
      <c r="G6" s="3">
        <v>6.3E-2</v>
      </c>
      <c r="H6" s="4">
        <v>1</v>
      </c>
      <c r="I6" s="6">
        <f t="shared" si="0"/>
        <v>6.3E-2</v>
      </c>
      <c r="K6" s="1" t="s">
        <v>14</v>
      </c>
      <c r="L6" s="4" t="s">
        <v>15</v>
      </c>
      <c r="M6" s="3">
        <v>6.3E-2</v>
      </c>
      <c r="N6" s="4">
        <v>1</v>
      </c>
      <c r="O6" s="6">
        <f t="shared" si="1"/>
        <v>6.3E-2</v>
      </c>
      <c r="Q6" s="18">
        <v>273.73599999999999</v>
      </c>
    </row>
    <row r="7" spans="1:18" x14ac:dyDescent="0.3">
      <c r="A7" s="1" t="s">
        <v>70</v>
      </c>
      <c r="B7" s="4" t="s">
        <v>71</v>
      </c>
      <c r="C7" s="15">
        <f>104.54</f>
        <v>104.54</v>
      </c>
      <c r="D7" s="4"/>
      <c r="E7" s="1" t="s">
        <v>16</v>
      </c>
      <c r="F7" s="4" t="s">
        <v>17</v>
      </c>
      <c r="G7" s="3">
        <v>1.95E-2</v>
      </c>
      <c r="H7" s="4">
        <v>1</v>
      </c>
      <c r="I7" s="6">
        <f t="shared" si="0"/>
        <v>1.95E-2</v>
      </c>
      <c r="K7" s="1" t="s">
        <v>16</v>
      </c>
      <c r="L7" s="4" t="s">
        <v>17</v>
      </c>
      <c r="M7" s="3">
        <v>1.95E-2</v>
      </c>
      <c r="N7" s="4">
        <v>1</v>
      </c>
      <c r="O7" s="6">
        <f t="shared" si="1"/>
        <v>1.95E-2</v>
      </c>
    </row>
    <row r="8" spans="1:18" x14ac:dyDescent="0.3">
      <c r="A8" s="1" t="s">
        <v>2</v>
      </c>
      <c r="B8" s="4" t="s">
        <v>72</v>
      </c>
      <c r="C8" s="15">
        <f>19800/Q12</f>
        <v>57.096224440067708</v>
      </c>
      <c r="D8" s="2"/>
      <c r="E8" s="1" t="s">
        <v>18</v>
      </c>
      <c r="F8" s="7" t="s">
        <v>19</v>
      </c>
      <c r="G8" s="3">
        <f>0.0471</f>
        <v>4.7100000000000003E-2</v>
      </c>
      <c r="H8" s="4">
        <v>1</v>
      </c>
      <c r="I8" s="6">
        <f t="shared" si="0"/>
        <v>4.7100000000000003E-2</v>
      </c>
      <c r="K8" s="1" t="s">
        <v>18</v>
      </c>
      <c r="L8" s="7" t="s">
        <v>19</v>
      </c>
      <c r="M8" s="3">
        <f>0.0471</f>
        <v>4.7100000000000003E-2</v>
      </c>
      <c r="N8" s="4">
        <v>1</v>
      </c>
      <c r="O8" s="6">
        <f t="shared" si="1"/>
        <v>4.7100000000000003E-2</v>
      </c>
      <c r="Q8" s="5" t="s">
        <v>39</v>
      </c>
    </row>
    <row r="9" spans="1:18" x14ac:dyDescent="0.3">
      <c r="A9" s="1" t="s">
        <v>3</v>
      </c>
      <c r="B9" s="4" t="s">
        <v>73</v>
      </c>
      <c r="C9" s="15">
        <f>17290/Q12</f>
        <v>49.858268715594477</v>
      </c>
      <c r="D9" s="4"/>
      <c r="E9" s="1" t="s">
        <v>20</v>
      </c>
      <c r="F9" s="7" t="s">
        <v>21</v>
      </c>
      <c r="G9" s="3">
        <f>0.0073</f>
        <v>7.3000000000000001E-3</v>
      </c>
      <c r="H9" s="7">
        <v>2</v>
      </c>
      <c r="I9" s="6">
        <f t="shared" si="0"/>
        <v>1.46E-2</v>
      </c>
      <c r="K9" s="1" t="s">
        <v>20</v>
      </c>
      <c r="L9" s="7" t="s">
        <v>21</v>
      </c>
      <c r="M9" s="3">
        <f>0.0073</f>
        <v>7.3000000000000001E-3</v>
      </c>
      <c r="N9" s="7">
        <v>2</v>
      </c>
      <c r="O9" s="6">
        <f t="shared" si="1"/>
        <v>1.46E-2</v>
      </c>
      <c r="Q9" s="16">
        <v>347.47500000000002</v>
      </c>
    </row>
    <row r="10" spans="1:18" x14ac:dyDescent="0.3">
      <c r="A10" s="1" t="s">
        <v>74</v>
      </c>
      <c r="B10" s="4" t="s">
        <v>75</v>
      </c>
      <c r="C10" s="15">
        <f>4*4*236*7.5</f>
        <v>28320</v>
      </c>
      <c r="D10" s="4"/>
      <c r="E10" s="1" t="s">
        <v>22</v>
      </c>
      <c r="F10" s="4" t="s">
        <v>23</v>
      </c>
      <c r="G10" s="3">
        <v>1.12E-2</v>
      </c>
      <c r="H10" s="4">
        <v>1</v>
      </c>
      <c r="I10" s="6">
        <f t="shared" si="0"/>
        <v>1.12E-2</v>
      </c>
      <c r="K10" s="1" t="s">
        <v>22</v>
      </c>
      <c r="L10" s="4" t="s">
        <v>23</v>
      </c>
      <c r="M10" s="3">
        <v>1.12E-2</v>
      </c>
      <c r="N10" s="4">
        <v>1</v>
      </c>
      <c r="O10" s="6">
        <f t="shared" si="1"/>
        <v>1.12E-2</v>
      </c>
    </row>
    <row r="11" spans="1:18" x14ac:dyDescent="0.3">
      <c r="A11" s="1" t="s">
        <v>61</v>
      </c>
      <c r="B11" s="28" t="s">
        <v>62</v>
      </c>
      <c r="C11" s="15">
        <f>75000/Q15</f>
        <v>91.779045008443674</v>
      </c>
      <c r="D11" s="5"/>
      <c r="E11" s="1" t="s">
        <v>24</v>
      </c>
      <c r="F11" s="4" t="s">
        <v>25</v>
      </c>
      <c r="G11" s="3">
        <v>7.3000000000000001E-3</v>
      </c>
      <c r="H11" s="4">
        <v>1</v>
      </c>
      <c r="I11" s="6">
        <f t="shared" si="0"/>
        <v>7.3000000000000001E-3</v>
      </c>
      <c r="K11" s="1" t="s">
        <v>24</v>
      </c>
      <c r="L11" s="4" t="s">
        <v>25</v>
      </c>
      <c r="M11" s="3">
        <v>7.3000000000000001E-3</v>
      </c>
      <c r="N11" s="4">
        <v>1</v>
      </c>
      <c r="O11" s="6">
        <f t="shared" si="1"/>
        <v>7.3000000000000001E-3</v>
      </c>
      <c r="Q11" s="5" t="s">
        <v>38</v>
      </c>
    </row>
    <row r="12" spans="1:18" x14ac:dyDescent="0.3">
      <c r="A12" s="25" t="s">
        <v>63</v>
      </c>
      <c r="B12" s="32" t="s">
        <v>62</v>
      </c>
      <c r="C12" s="33">
        <f>490000/Q15</f>
        <v>599.62309405516532</v>
      </c>
      <c r="E12" s="1" t="s">
        <v>26</v>
      </c>
      <c r="F12" s="4" t="s">
        <v>27</v>
      </c>
      <c r="G12" s="3">
        <v>0.16028000000000001</v>
      </c>
      <c r="H12" s="8">
        <f>4</f>
        <v>4</v>
      </c>
      <c r="I12" s="6">
        <f t="shared" si="0"/>
        <v>0.64112000000000002</v>
      </c>
      <c r="K12" s="1" t="s">
        <v>26</v>
      </c>
      <c r="L12" s="4" t="s">
        <v>27</v>
      </c>
      <c r="M12" s="3">
        <v>0.16028000000000001</v>
      </c>
      <c r="N12" s="8">
        <f>4</f>
        <v>4</v>
      </c>
      <c r="O12" s="6">
        <f t="shared" si="1"/>
        <v>0.64112000000000002</v>
      </c>
      <c r="Q12" s="16">
        <v>346.78300000000002</v>
      </c>
    </row>
    <row r="13" spans="1:18" x14ac:dyDescent="0.3">
      <c r="A13" s="29" t="s">
        <v>43</v>
      </c>
      <c r="B13" s="30"/>
      <c r="C13" s="31">
        <f>SUM(C3:C12)</f>
        <v>29330.320372727783</v>
      </c>
      <c r="E13" s="1" t="s">
        <v>28</v>
      </c>
      <c r="F13" s="7" t="s">
        <v>47</v>
      </c>
      <c r="G13" s="3">
        <f>589/Q15</f>
        <v>0.72077143346631101</v>
      </c>
      <c r="H13" s="7">
        <v>2</v>
      </c>
      <c r="I13" s="6">
        <f t="shared" si="0"/>
        <v>1.441542866932622</v>
      </c>
      <c r="K13" s="1" t="s">
        <v>28</v>
      </c>
      <c r="L13" s="7" t="s">
        <v>47</v>
      </c>
      <c r="M13" s="3">
        <f>589/Q15</f>
        <v>0.72077143346631101</v>
      </c>
      <c r="N13" s="7">
        <v>1</v>
      </c>
      <c r="O13" s="6">
        <f>N13*M13</f>
        <v>0.72077143346631101</v>
      </c>
    </row>
    <row r="14" spans="1:18" x14ac:dyDescent="0.3">
      <c r="E14" s="1" t="s">
        <v>29</v>
      </c>
      <c r="F14" s="21" t="s">
        <v>48</v>
      </c>
      <c r="G14" s="3">
        <f>89000/Q15</f>
        <v>108.91113341001983</v>
      </c>
      <c r="H14" s="17">
        <f>3/750</f>
        <v>4.0000000000000001E-3</v>
      </c>
      <c r="I14" s="6">
        <f t="shared" si="0"/>
        <v>0.43564453364007932</v>
      </c>
      <c r="K14" s="1" t="s">
        <v>29</v>
      </c>
      <c r="L14" s="21" t="s">
        <v>48</v>
      </c>
      <c r="M14" s="3">
        <f>89000/Q15</f>
        <v>108.91113341001983</v>
      </c>
      <c r="N14" s="17">
        <f>3/750</f>
        <v>4.0000000000000001E-3</v>
      </c>
      <c r="O14" s="6">
        <f t="shared" si="1"/>
        <v>0.43564453364007932</v>
      </c>
      <c r="Q14" s="5" t="s">
        <v>35</v>
      </c>
    </row>
    <row r="15" spans="1:18" x14ac:dyDescent="0.3">
      <c r="E15" s="10" t="s">
        <v>30</v>
      </c>
      <c r="F15" s="11" t="s">
        <v>31</v>
      </c>
      <c r="G15" s="3">
        <f>27.55</f>
        <v>27.55</v>
      </c>
      <c r="H15" s="9">
        <v>0.01</v>
      </c>
      <c r="I15" s="6">
        <f t="shared" si="0"/>
        <v>0.27550000000000002</v>
      </c>
      <c r="K15" s="10" t="s">
        <v>30</v>
      </c>
      <c r="L15" s="11" t="s">
        <v>31</v>
      </c>
      <c r="M15" s="3">
        <f>27.55</f>
        <v>27.55</v>
      </c>
      <c r="N15" s="9">
        <v>0.01</v>
      </c>
      <c r="O15" s="6">
        <f t="shared" si="1"/>
        <v>0.27550000000000002</v>
      </c>
      <c r="Q15" s="16">
        <v>817.18</v>
      </c>
    </row>
    <row r="16" spans="1:18" x14ac:dyDescent="0.3">
      <c r="E16" s="10" t="s">
        <v>45</v>
      </c>
      <c r="F16" s="11" t="s">
        <v>49</v>
      </c>
      <c r="G16" s="3">
        <f>7.5</f>
        <v>7.5</v>
      </c>
      <c r="H16" s="20">
        <v>0.5</v>
      </c>
      <c r="I16" s="6">
        <f t="shared" si="0"/>
        <v>3.75</v>
      </c>
      <c r="K16" s="10" t="s">
        <v>45</v>
      </c>
      <c r="L16" s="11" t="s">
        <v>49</v>
      </c>
      <c r="M16" s="3">
        <f>7.5</f>
        <v>7.5</v>
      </c>
      <c r="N16" s="20">
        <v>0.5</v>
      </c>
      <c r="O16" s="6">
        <f t="shared" si="1"/>
        <v>3.75</v>
      </c>
    </row>
    <row r="17" spans="5:15" x14ac:dyDescent="0.3">
      <c r="E17" s="10" t="s">
        <v>46</v>
      </c>
      <c r="F17" s="7" t="s">
        <v>49</v>
      </c>
      <c r="G17" s="3">
        <f>7.5</f>
        <v>7.5</v>
      </c>
      <c r="H17" s="7">
        <v>0.5</v>
      </c>
      <c r="I17" s="6">
        <f t="shared" si="0"/>
        <v>3.75</v>
      </c>
      <c r="K17" s="10" t="s">
        <v>46</v>
      </c>
      <c r="L17" s="7" t="s">
        <v>49</v>
      </c>
      <c r="M17" s="3">
        <f>7.5</f>
        <v>7.5</v>
      </c>
      <c r="N17" s="7">
        <v>0.5</v>
      </c>
      <c r="O17" s="6">
        <f t="shared" si="1"/>
        <v>3.75</v>
      </c>
    </row>
    <row r="18" spans="5:15" x14ac:dyDescent="0.3">
      <c r="E18" s="12" t="s">
        <v>44</v>
      </c>
      <c r="F18" s="13"/>
      <c r="G18" s="13"/>
      <c r="H18" s="13"/>
      <c r="I18" s="19">
        <f>SUM(I3:I17)</f>
        <v>12.943307400572701</v>
      </c>
      <c r="K18" s="12" t="s">
        <v>44</v>
      </c>
      <c r="L18" s="13"/>
      <c r="M18" s="13"/>
      <c r="N18" s="13"/>
      <c r="O18" s="19">
        <f>SUM(O3:O17)</f>
        <v>12.22253596710639</v>
      </c>
    </row>
  </sheetData>
  <mergeCells count="3">
    <mergeCell ref="E1:I1"/>
    <mergeCell ref="K1:O1"/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14" sqref="H14"/>
    </sheetView>
  </sheetViews>
  <sheetFormatPr baseColWidth="10" defaultRowHeight="14.4" x14ac:dyDescent="0.3"/>
  <cols>
    <col min="1" max="1" width="17" customWidth="1"/>
    <col min="2" max="2" width="13.77734375" customWidth="1"/>
    <col min="3" max="3" width="13.109375" customWidth="1"/>
    <col min="4" max="4" width="18.5546875" customWidth="1"/>
    <col min="5" max="5" width="18.21875" customWidth="1"/>
    <col min="6" max="6" width="17.33203125" customWidth="1"/>
    <col min="7" max="7" width="17.77734375" customWidth="1"/>
  </cols>
  <sheetData>
    <row r="1" spans="1:7" x14ac:dyDescent="0.3">
      <c r="A1" t="s">
        <v>57</v>
      </c>
      <c r="D1" s="74" t="s">
        <v>57</v>
      </c>
      <c r="E1" s="75"/>
      <c r="F1" s="75"/>
      <c r="G1" s="76"/>
    </row>
    <row r="2" spans="1:7" x14ac:dyDescent="0.3">
      <c r="A2" t="s">
        <v>58</v>
      </c>
      <c r="B2">
        <v>700</v>
      </c>
      <c r="D2" s="59" t="s">
        <v>84</v>
      </c>
      <c r="E2" s="66">
        <v>1</v>
      </c>
      <c r="F2" s="56">
        <v>2</v>
      </c>
      <c r="G2" s="67">
        <v>3</v>
      </c>
    </row>
    <row r="3" spans="1:7" x14ac:dyDescent="0.3">
      <c r="A3" t="s">
        <v>60</v>
      </c>
      <c r="B3" s="16">
        <v>50</v>
      </c>
      <c r="D3" s="60" t="s">
        <v>85</v>
      </c>
      <c r="E3" s="4">
        <f>INT(B2*0.75)</f>
        <v>525</v>
      </c>
      <c r="F3" s="4">
        <f>$B$2</f>
        <v>700</v>
      </c>
      <c r="G3" s="58">
        <f>$B$2</f>
        <v>700</v>
      </c>
    </row>
    <row r="4" spans="1:7" ht="15" thickBot="1" x14ac:dyDescent="0.35">
      <c r="D4" s="61" t="s">
        <v>86</v>
      </c>
      <c r="E4" s="64">
        <f>E3*$B$3</f>
        <v>26250</v>
      </c>
      <c r="F4" s="64">
        <f t="shared" ref="F4:G4" si="0">F3*$B$3</f>
        <v>35000</v>
      </c>
      <c r="G4" s="65">
        <f t="shared" si="0"/>
        <v>35000</v>
      </c>
    </row>
    <row r="5" spans="1:7" ht="15" thickBot="1" x14ac:dyDescent="0.35"/>
    <row r="6" spans="1:7" x14ac:dyDescent="0.3">
      <c r="A6" t="s">
        <v>59</v>
      </c>
      <c r="D6" s="74" t="s">
        <v>59</v>
      </c>
      <c r="E6" s="75"/>
      <c r="F6" s="75"/>
      <c r="G6" s="76"/>
    </row>
    <row r="7" spans="1:7" x14ac:dyDescent="0.3">
      <c r="A7" t="s">
        <v>58</v>
      </c>
      <c r="B7">
        <v>14</v>
      </c>
      <c r="D7" s="59" t="s">
        <v>84</v>
      </c>
      <c r="E7" s="66">
        <v>1</v>
      </c>
      <c r="F7" s="56">
        <v>2</v>
      </c>
      <c r="G7" s="67">
        <v>3</v>
      </c>
    </row>
    <row r="8" spans="1:7" x14ac:dyDescent="0.3">
      <c r="A8" t="s">
        <v>60</v>
      </c>
      <c r="B8" s="16">
        <v>80</v>
      </c>
      <c r="D8" s="60" t="s">
        <v>85</v>
      </c>
      <c r="E8" s="4">
        <f>INT(B7*0.75)</f>
        <v>10</v>
      </c>
      <c r="F8" s="4">
        <f>$B$7</f>
        <v>14</v>
      </c>
      <c r="G8" s="58">
        <f>$B$7</f>
        <v>14</v>
      </c>
    </row>
    <row r="9" spans="1:7" ht="15" thickBot="1" x14ac:dyDescent="0.35">
      <c r="B9" s="34"/>
      <c r="D9" s="61" t="s">
        <v>86</v>
      </c>
      <c r="E9" s="64">
        <f>E8*$B$8</f>
        <v>800</v>
      </c>
      <c r="F9" s="64">
        <f t="shared" ref="F9:G9" si="1">F8*$B$8</f>
        <v>1120</v>
      </c>
      <c r="G9" s="65">
        <f t="shared" si="1"/>
        <v>1120</v>
      </c>
    </row>
    <row r="10" spans="1:7" x14ac:dyDescent="0.3">
      <c r="D10" s="62"/>
      <c r="E10" s="4"/>
      <c r="F10" s="63"/>
    </row>
    <row r="11" spans="1:7" x14ac:dyDescent="0.3">
      <c r="B11" s="34"/>
    </row>
    <row r="13" spans="1:7" x14ac:dyDescent="0.3">
      <c r="B13" s="41"/>
    </row>
    <row r="14" spans="1:7" x14ac:dyDescent="0.3">
      <c r="B14" s="53"/>
    </row>
    <row r="15" spans="1:7" x14ac:dyDescent="0.3">
      <c r="B15" s="53"/>
    </row>
  </sheetData>
  <mergeCells count="2">
    <mergeCell ref="D1:G1"/>
    <mergeCell ref="D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15" sqref="H15"/>
    </sheetView>
  </sheetViews>
  <sheetFormatPr baseColWidth="10" defaultRowHeight="14.4" x14ac:dyDescent="0.3"/>
  <cols>
    <col min="1" max="1" width="15.5546875" customWidth="1"/>
    <col min="2" max="2" width="13.88671875" customWidth="1"/>
    <col min="3" max="3" width="11.5546875" customWidth="1"/>
    <col min="4" max="4" width="23.109375" customWidth="1"/>
    <col min="5" max="5" width="14.77734375" customWidth="1"/>
    <col min="6" max="10" width="14.21875" bestFit="1" customWidth="1"/>
  </cols>
  <sheetData>
    <row r="1" spans="1:10" x14ac:dyDescent="0.3">
      <c r="D1" s="22" t="s">
        <v>51</v>
      </c>
      <c r="E1" s="23">
        <v>0</v>
      </c>
      <c r="F1" s="36">
        <v>1</v>
      </c>
      <c r="G1" s="23">
        <v>2</v>
      </c>
      <c r="H1" s="35">
        <v>3</v>
      </c>
      <c r="I1" s="56"/>
      <c r="J1" s="56"/>
    </row>
    <row r="2" spans="1:10" x14ac:dyDescent="0.3">
      <c r="A2" t="s">
        <v>55</v>
      </c>
      <c r="B2" s="34">
        <v>0.21</v>
      </c>
      <c r="D2" s="26" t="s">
        <v>54</v>
      </c>
      <c r="E2" s="42">
        <f>-Costos!C13</f>
        <v>-29330.320372727783</v>
      </c>
      <c r="F2" s="43">
        <v>0</v>
      </c>
      <c r="G2" s="42">
        <v>0</v>
      </c>
      <c r="H2" s="54">
        <v>0</v>
      </c>
      <c r="I2" s="57"/>
      <c r="J2" s="57"/>
    </row>
    <row r="3" spans="1:10" x14ac:dyDescent="0.3">
      <c r="A3" t="s">
        <v>79</v>
      </c>
      <c r="B3" s="34">
        <v>0.1</v>
      </c>
      <c r="D3" s="24" t="s">
        <v>52</v>
      </c>
      <c r="E3" s="44">
        <v>0</v>
      </c>
      <c r="F3" s="3">
        <f>Ingresos!E4+Ingresos!E9</f>
        <v>27050</v>
      </c>
      <c r="G3" s="44">
        <f>Ingresos!F4+Ingresos!F9</f>
        <v>36120</v>
      </c>
      <c r="H3" s="51">
        <f>Ingresos!G4+Ingresos!G9</f>
        <v>36120</v>
      </c>
      <c r="I3" s="3"/>
      <c r="J3" s="3"/>
    </row>
    <row r="4" spans="1:10" x14ac:dyDescent="0.3">
      <c r="D4" s="24" t="s">
        <v>77</v>
      </c>
      <c r="E4" s="44">
        <f>0</f>
        <v>0</v>
      </c>
      <c r="F4" s="3">
        <f>-Ingresos!E3*Costos!$I$18 - Ingresos!E8*Costos!$O$18</f>
        <v>-6917.4617449717325</v>
      </c>
      <c r="G4" s="44">
        <f>-Ingresos!F3*Costos!$I$18 - Ingresos!F8*Costos!$O$18</f>
        <v>-9231.4306839403798</v>
      </c>
      <c r="H4" s="51">
        <f>-Ingresos!G3*Costos!$I$18 - Ingresos!G8*Costos!$O$18</f>
        <v>-9231.4306839403798</v>
      </c>
      <c r="I4" s="3"/>
      <c r="J4" s="3"/>
    </row>
    <row r="5" spans="1:10" x14ac:dyDescent="0.3">
      <c r="A5" t="s">
        <v>80</v>
      </c>
      <c r="B5" s="41">
        <f>SUM(E9:H9)</f>
        <v>10313.153424486163</v>
      </c>
      <c r="D5" s="24" t="s">
        <v>76</v>
      </c>
      <c r="E5" s="44">
        <f>0</f>
        <v>0</v>
      </c>
      <c r="F5" s="3">
        <f>F3+F4</f>
        <v>20132.538255028267</v>
      </c>
      <c r="G5" s="44">
        <f t="shared" ref="G5:H5" si="0">G3+G4</f>
        <v>26888.56931605962</v>
      </c>
      <c r="H5" s="51">
        <f t="shared" si="0"/>
        <v>26888.56931605962</v>
      </c>
      <c r="I5" s="3"/>
      <c r="J5" s="3"/>
    </row>
    <row r="6" spans="1:10" x14ac:dyDescent="0.3">
      <c r="A6" t="s">
        <v>82</v>
      </c>
      <c r="B6" s="53">
        <f>IRR(E8:H8)</f>
        <v>0.41542743559083228</v>
      </c>
      <c r="D6" s="24" t="s">
        <v>55</v>
      </c>
      <c r="E6" s="44">
        <v>0</v>
      </c>
      <c r="F6" s="3">
        <f>-$B$2*F5</f>
        <v>-4227.8330335559358</v>
      </c>
      <c r="G6" s="44">
        <f>-$B$2*G5</f>
        <v>-5646.5995563725201</v>
      </c>
      <c r="H6" s="51">
        <f>-$B$2*H5</f>
        <v>-5646.5995563725201</v>
      </c>
      <c r="I6" s="3"/>
      <c r="J6" s="3"/>
    </row>
    <row r="7" spans="1:10" x14ac:dyDescent="0.3">
      <c r="A7" t="s">
        <v>83</v>
      </c>
      <c r="B7" s="53">
        <f>MIRR(E8:H8,B3,B3)</f>
        <v>0.29604808311628417</v>
      </c>
      <c r="D7" s="27" t="s">
        <v>53</v>
      </c>
      <c r="E7" s="45">
        <v>0</v>
      </c>
      <c r="F7" s="46">
        <f>F5+F6</f>
        <v>15904.70522147233</v>
      </c>
      <c r="G7" s="45">
        <f t="shared" ref="G7:H7" si="1">G5+G6</f>
        <v>21241.969759687101</v>
      </c>
      <c r="H7" s="55">
        <f t="shared" si="1"/>
        <v>21241.969759687101</v>
      </c>
      <c r="I7" s="3"/>
      <c r="J7" s="3"/>
    </row>
    <row r="8" spans="1:10" ht="15" thickBot="1" x14ac:dyDescent="0.35">
      <c r="D8" s="40" t="s">
        <v>56</v>
      </c>
      <c r="E8" s="50">
        <f>E2</f>
        <v>-29330.320372727783</v>
      </c>
      <c r="F8" s="3">
        <f>F7</f>
        <v>15904.70522147233</v>
      </c>
      <c r="G8" s="50">
        <f>G7</f>
        <v>21241.969759687101</v>
      </c>
      <c r="H8" s="51">
        <f>H7</f>
        <v>21241.969759687101</v>
      </c>
      <c r="I8" s="3"/>
      <c r="J8" s="3"/>
    </row>
    <row r="9" spans="1:10" ht="15" thickBot="1" x14ac:dyDescent="0.35">
      <c r="D9" s="47" t="s">
        <v>81</v>
      </c>
      <c r="E9" s="52">
        <f>E8/(1+$B$2)^E1</f>
        <v>-29330.320372727783</v>
      </c>
      <c r="F9" s="48">
        <f>F8/(1+$B$2)^F1</f>
        <v>13144.384480555645</v>
      </c>
      <c r="G9" s="52">
        <f>G8/(1+$B$2)^G1</f>
        <v>14508.551164324228</v>
      </c>
      <c r="H9" s="49">
        <f>H8/(1+$B$2)^H1</f>
        <v>11990.538152334073</v>
      </c>
      <c r="I9" s="3"/>
      <c r="J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Costos</vt:lpstr>
      <vt:lpstr>Ingresos</vt:lpstr>
      <vt:lpstr>Flujo de 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2024-02-05T00:42:07Z</dcterms:created>
  <dcterms:modified xsi:type="dcterms:W3CDTF">2024-02-05T18:47:19Z</dcterms:modified>
</cp:coreProperties>
</file>