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OddVi\OneDrive\Dokumenter\Studier\SOK-2014 Nytte-kostnadsanalyse\Innleveringer\"/>
    </mc:Choice>
  </mc:AlternateContent>
  <xr:revisionPtr revIDLastSave="0" documentId="8_{4EE23FDA-7101-43A8-BC3B-3CA61A19E098}" xr6:coauthVersionLast="47" xr6:coauthVersionMax="47" xr10:uidLastSave="{00000000-0000-0000-0000-000000000000}"/>
  <bookViews>
    <workbookView xWindow="2730" yWindow="2625" windowWidth="13860" windowHeight="13575" xr2:uid="{34869815-AED6-4F7C-8114-7BC74EFE658D}"/>
  </bookViews>
  <sheets>
    <sheet name="Meny" sheetId="15" r:id="rId1"/>
    <sheet name="Netto nåverdier oppsummering" sheetId="9" r:id="rId2"/>
    <sheet name="NNV- Elektrifisering av Melkøya" sheetId="8" r:id="rId3"/>
    <sheet name="NNV- el Melkøya" sheetId="4" state="hidden" r:id="rId4"/>
    <sheet name="Tallfeste virkninger Melkøya" sheetId="1" state="hidden" r:id="rId5"/>
    <sheet name="NNV- nullalternativ" sheetId="6" r:id="rId6"/>
    <sheet name="Følsomhetsanalyse" sheetId="12" r:id="rId7"/>
    <sheet name="Endring karbonpris" sheetId="13" r:id="rId8"/>
    <sheet name="Mellomregning" sheetId="14" state="hidden" r:id="rId9"/>
    <sheet name="Karbonprisbaner" sheetId="5" r:id="rId10"/>
    <sheet name="Forventningsverdier" sheetId="11" state="hidden" r:id="rId11"/>
    <sheet name="Noter" sheetId="10" r:id="rId12"/>
  </sheet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4" i="13" l="1"/>
  <c r="I46" i="13"/>
  <c r="I45" i="13"/>
  <c r="K113" i="9"/>
  <c r="I113" i="9"/>
  <c r="G113" i="9"/>
  <c r="D113" i="9"/>
  <c r="K111" i="9"/>
  <c r="I111" i="9"/>
  <c r="G111" i="9"/>
  <c r="D111" i="9"/>
  <c r="K110" i="9"/>
  <c r="I110" i="9"/>
  <c r="G110" i="9"/>
  <c r="D110" i="9"/>
  <c r="K109" i="9"/>
  <c r="J109" i="9"/>
  <c r="I109" i="9"/>
  <c r="H109" i="9"/>
  <c r="G109" i="9"/>
  <c r="F109" i="9"/>
  <c r="D109" i="9"/>
  <c r="C109" i="9"/>
  <c r="K108" i="9"/>
  <c r="I108" i="9"/>
  <c r="G108" i="9"/>
  <c r="D108" i="9"/>
  <c r="K107" i="9"/>
  <c r="I107" i="9"/>
  <c r="G107" i="9"/>
  <c r="D107" i="9"/>
  <c r="K106" i="9"/>
  <c r="J106" i="9"/>
  <c r="I106" i="9"/>
  <c r="H106" i="9"/>
  <c r="G106" i="9"/>
  <c r="F106" i="9"/>
  <c r="D106" i="9"/>
  <c r="C106" i="9"/>
  <c r="K105" i="9"/>
  <c r="I105" i="9"/>
  <c r="G105" i="9"/>
  <c r="D105" i="9"/>
  <c r="K104" i="9"/>
  <c r="K114" i="9" s="1"/>
  <c r="J104" i="9"/>
  <c r="J114" i="9" s="1"/>
  <c r="I104" i="9"/>
  <c r="H104" i="9"/>
  <c r="H114" i="9" s="1"/>
  <c r="G104" i="9"/>
  <c r="G114" i="9" s="1"/>
  <c r="F104" i="9"/>
  <c r="F114" i="9" s="1"/>
  <c r="D104" i="9"/>
  <c r="D114" i="9" s="1"/>
  <c r="C104" i="9"/>
  <c r="C114" i="9" s="1"/>
  <c r="J45" i="13"/>
  <c r="K45" i="13"/>
  <c r="L45" i="13"/>
  <c r="M45" i="13"/>
  <c r="N45" i="13"/>
  <c r="O45" i="13"/>
  <c r="P45" i="13"/>
  <c r="Q45" i="13"/>
  <c r="R45" i="13"/>
  <c r="S45" i="13"/>
  <c r="T45" i="13"/>
  <c r="U45" i="13"/>
  <c r="V45" i="13"/>
  <c r="J51" i="13"/>
  <c r="C36" i="13"/>
  <c r="D36" i="13"/>
  <c r="E36" i="13"/>
  <c r="F36" i="13"/>
  <c r="G36" i="13"/>
  <c r="H36" i="13"/>
  <c r="I36" i="13"/>
  <c r="I52" i="13" s="1"/>
  <c r="J36" i="13"/>
  <c r="K36" i="13"/>
  <c r="K51" i="13" s="1"/>
  <c r="L36" i="13"/>
  <c r="L51" i="13" s="1"/>
  <c r="M36" i="13"/>
  <c r="M51" i="13" s="1"/>
  <c r="N36" i="13"/>
  <c r="N51" i="13" s="1"/>
  <c r="O36" i="13"/>
  <c r="O51" i="13" s="1"/>
  <c r="P36" i="13"/>
  <c r="P51" i="13" s="1"/>
  <c r="Q36" i="13"/>
  <c r="Q51" i="13" s="1"/>
  <c r="R36" i="13"/>
  <c r="R51" i="13" s="1"/>
  <c r="S36" i="13"/>
  <c r="S51" i="13" s="1"/>
  <c r="T36" i="13"/>
  <c r="T51" i="13" s="1"/>
  <c r="U36" i="13"/>
  <c r="U51" i="13" s="1"/>
  <c r="V36" i="13"/>
  <c r="V51" i="13" s="1"/>
  <c r="W36" i="13"/>
  <c r="X36" i="13"/>
  <c r="Y36" i="13"/>
  <c r="Z36" i="13"/>
  <c r="AA36" i="13"/>
  <c r="AB36" i="13"/>
  <c r="AC36" i="13"/>
  <c r="AD36" i="13"/>
  <c r="AE36" i="13"/>
  <c r="AF36" i="13"/>
  <c r="AG36" i="13"/>
  <c r="AH36" i="13"/>
  <c r="AI36" i="13"/>
  <c r="AJ36" i="13"/>
  <c r="AK36" i="13"/>
  <c r="AL36" i="13"/>
  <c r="AM36" i="13"/>
  <c r="AN36" i="13"/>
  <c r="AO36" i="13"/>
  <c r="AP36" i="13"/>
  <c r="AQ36" i="13"/>
  <c r="AR36" i="13"/>
  <c r="AS36" i="13"/>
  <c r="AT36" i="13"/>
  <c r="AU36" i="13"/>
  <c r="AV36" i="13"/>
  <c r="AW36" i="13"/>
  <c r="AX36" i="13"/>
  <c r="AY36" i="13"/>
  <c r="AZ36" i="13"/>
  <c r="BA36" i="13"/>
  <c r="BB36" i="13"/>
  <c r="BC36" i="13"/>
  <c r="BD36" i="13"/>
  <c r="BE36" i="13"/>
  <c r="BF36" i="13"/>
  <c r="BG36" i="13"/>
  <c r="BH36" i="13"/>
  <c r="BI36" i="13"/>
  <c r="BJ36" i="13"/>
  <c r="BK36" i="13"/>
  <c r="BL36" i="13"/>
  <c r="BM36" i="13"/>
  <c r="BN36" i="13"/>
  <c r="BO36" i="13"/>
  <c r="BP36" i="13"/>
  <c r="BQ36" i="13"/>
  <c r="BR36" i="13"/>
  <c r="BS36" i="13"/>
  <c r="BT36" i="13"/>
  <c r="BU36" i="13"/>
  <c r="BV36" i="13"/>
  <c r="BW36" i="13"/>
  <c r="BX36" i="13"/>
  <c r="BY36" i="13"/>
  <c r="BZ36" i="13"/>
  <c r="CA36" i="13"/>
  <c r="B36" i="13"/>
  <c r="F55" i="14"/>
  <c r="F64" i="14" s="1"/>
  <c r="J55" i="14"/>
  <c r="N55" i="14"/>
  <c r="R55" i="14"/>
  <c r="R64" i="14" s="1"/>
  <c r="G9" i="13"/>
  <c r="H9" i="13"/>
  <c r="H10" i="13"/>
  <c r="H11" i="13"/>
  <c r="G12" i="13"/>
  <c r="H12" i="13"/>
  <c r="H13" i="13"/>
  <c r="H14" i="13"/>
  <c r="C28" i="13"/>
  <c r="I43" i="13" s="1"/>
  <c r="B28" i="13"/>
  <c r="D15" i="11"/>
  <c r="C15" i="11"/>
  <c r="B15" i="11"/>
  <c r="D9" i="11"/>
  <c r="C9" i="11"/>
  <c r="B9" i="11"/>
  <c r="D8" i="11"/>
  <c r="C8" i="11"/>
  <c r="B8" i="11"/>
  <c r="F5" i="11"/>
  <c r="E5" i="11"/>
  <c r="D5" i="11"/>
  <c r="C5" i="11"/>
  <c r="C64" i="14"/>
  <c r="C62" i="14"/>
  <c r="R59" i="14"/>
  <c r="Q59" i="14"/>
  <c r="P59" i="14"/>
  <c r="O59" i="14"/>
  <c r="N59" i="14"/>
  <c r="M59" i="14"/>
  <c r="L59" i="14"/>
  <c r="K59" i="14"/>
  <c r="J59" i="14"/>
  <c r="I59" i="14"/>
  <c r="H59" i="14"/>
  <c r="G59" i="14"/>
  <c r="F59" i="14"/>
  <c r="E59" i="14"/>
  <c r="D59" i="14"/>
  <c r="R58" i="14"/>
  <c r="Q58" i="14"/>
  <c r="P58" i="14"/>
  <c r="O58" i="14"/>
  <c r="N58" i="14"/>
  <c r="M58" i="14"/>
  <c r="L58" i="14"/>
  <c r="K58" i="14"/>
  <c r="J58" i="14"/>
  <c r="I58" i="14"/>
  <c r="H58" i="14"/>
  <c r="G58" i="14"/>
  <c r="F58" i="14"/>
  <c r="E58" i="14"/>
  <c r="D58" i="14"/>
  <c r="R57" i="14"/>
  <c r="Q57" i="14"/>
  <c r="P57" i="14"/>
  <c r="O57" i="14"/>
  <c r="N57" i="14"/>
  <c r="M57" i="14"/>
  <c r="L57" i="14"/>
  <c r="K57" i="14"/>
  <c r="J57" i="14"/>
  <c r="I57" i="14"/>
  <c r="H57" i="14"/>
  <c r="G57" i="14"/>
  <c r="F57" i="14"/>
  <c r="E57" i="14"/>
  <c r="D57" i="14"/>
  <c r="R56" i="14"/>
  <c r="Q56" i="14"/>
  <c r="P56" i="14"/>
  <c r="O56" i="14"/>
  <c r="N56" i="14"/>
  <c r="M56" i="14"/>
  <c r="L56" i="14"/>
  <c r="K56" i="14"/>
  <c r="J56" i="14"/>
  <c r="I56" i="14"/>
  <c r="H56" i="14"/>
  <c r="G56" i="14"/>
  <c r="F56" i="14"/>
  <c r="E56" i="14"/>
  <c r="D56" i="14"/>
  <c r="Q55" i="14"/>
  <c r="P55" i="14"/>
  <c r="O55" i="14"/>
  <c r="O64" i="14" s="1"/>
  <c r="M55" i="14"/>
  <c r="L55" i="14"/>
  <c r="K55" i="14"/>
  <c r="K64" i="14" s="1"/>
  <c r="I55" i="14"/>
  <c r="H55" i="14"/>
  <c r="G55" i="14"/>
  <c r="G64" i="14" s="1"/>
  <c r="E55" i="14"/>
  <c r="D55" i="14"/>
  <c r="K45" i="14"/>
  <c r="C45" i="14"/>
  <c r="C44" i="14"/>
  <c r="Q43" i="14"/>
  <c r="P43" i="14"/>
  <c r="O43" i="14"/>
  <c r="N43" i="14"/>
  <c r="M43" i="14"/>
  <c r="L43" i="14"/>
  <c r="K43" i="14"/>
  <c r="J43" i="14"/>
  <c r="I43" i="14"/>
  <c r="H43" i="14"/>
  <c r="G43" i="14"/>
  <c r="F43" i="14"/>
  <c r="E43" i="14"/>
  <c r="D43" i="14"/>
  <c r="Q42" i="14"/>
  <c r="Q45" i="14" s="1"/>
  <c r="P42" i="14"/>
  <c r="P45" i="14" s="1"/>
  <c r="O42" i="14"/>
  <c r="O45" i="14" s="1"/>
  <c r="N42" i="14"/>
  <c r="N45" i="14" s="1"/>
  <c r="M42" i="14"/>
  <c r="M45" i="14" s="1"/>
  <c r="L42" i="14"/>
  <c r="L45" i="14" s="1"/>
  <c r="K42" i="14"/>
  <c r="J42" i="14"/>
  <c r="J45" i="14" s="1"/>
  <c r="I42" i="14"/>
  <c r="I45" i="14" s="1"/>
  <c r="H42" i="14"/>
  <c r="H45" i="14" s="1"/>
  <c r="G42" i="14"/>
  <c r="G45" i="14" s="1"/>
  <c r="F42" i="14"/>
  <c r="F45" i="14" s="1"/>
  <c r="E42" i="14"/>
  <c r="E45" i="14" s="1"/>
  <c r="D42" i="14"/>
  <c r="D45" i="14" s="1"/>
  <c r="B36" i="14"/>
  <c r="D26" i="14"/>
  <c r="C23" i="14"/>
  <c r="C21" i="14"/>
  <c r="R18" i="14"/>
  <c r="Q18" i="14"/>
  <c r="P18" i="14"/>
  <c r="O18" i="14"/>
  <c r="N18" i="14"/>
  <c r="M18" i="14"/>
  <c r="L18" i="14"/>
  <c r="K18" i="14"/>
  <c r="J18" i="14"/>
  <c r="I18" i="14"/>
  <c r="H18" i="14"/>
  <c r="G18" i="14"/>
  <c r="F18" i="14"/>
  <c r="E18" i="14"/>
  <c r="D18" i="14"/>
  <c r="R17" i="14"/>
  <c r="Q17" i="14"/>
  <c r="P17" i="14"/>
  <c r="O17" i="14"/>
  <c r="N17" i="14"/>
  <c r="M17" i="14"/>
  <c r="L17" i="14"/>
  <c r="K17" i="14"/>
  <c r="J17" i="14"/>
  <c r="I17" i="14"/>
  <c r="H17" i="14"/>
  <c r="G17" i="14"/>
  <c r="F17" i="14"/>
  <c r="E17" i="14"/>
  <c r="D17" i="14"/>
  <c r="R16" i="14"/>
  <c r="Q16" i="14"/>
  <c r="P16" i="14"/>
  <c r="O16" i="14"/>
  <c r="N16" i="14"/>
  <c r="M16" i="14"/>
  <c r="L16" i="14"/>
  <c r="K16" i="14"/>
  <c r="J16" i="14"/>
  <c r="I16" i="14"/>
  <c r="H16" i="14"/>
  <c r="G16" i="14"/>
  <c r="F16" i="14"/>
  <c r="E16" i="14"/>
  <c r="D16" i="14"/>
  <c r="R15" i="14"/>
  <c r="Q15" i="14"/>
  <c r="P15" i="14"/>
  <c r="O15" i="14"/>
  <c r="N15" i="14"/>
  <c r="M15" i="14"/>
  <c r="L15" i="14"/>
  <c r="K15" i="14"/>
  <c r="K23" i="14" s="1"/>
  <c r="J15" i="14"/>
  <c r="I15" i="14"/>
  <c r="H15" i="14"/>
  <c r="G15" i="14"/>
  <c r="F15" i="14"/>
  <c r="E15" i="14"/>
  <c r="D15" i="14"/>
  <c r="R14" i="14"/>
  <c r="R23" i="14" s="1"/>
  <c r="Q14" i="14"/>
  <c r="P14" i="14"/>
  <c r="O14" i="14"/>
  <c r="O23" i="14" s="1"/>
  <c r="N14" i="14"/>
  <c r="N23" i="14" s="1"/>
  <c r="M14" i="14"/>
  <c r="L14" i="14"/>
  <c r="K14" i="14"/>
  <c r="J14" i="14"/>
  <c r="J23" i="14" s="1"/>
  <c r="I14" i="14"/>
  <c r="H14" i="14"/>
  <c r="G14" i="14"/>
  <c r="G23" i="14" s="1"/>
  <c r="F14" i="14"/>
  <c r="F23" i="14" s="1"/>
  <c r="E14" i="14"/>
  <c r="D14" i="14"/>
  <c r="B8" i="14"/>
  <c r="E7" i="14"/>
  <c r="D7" i="14"/>
  <c r="E6" i="14"/>
  <c r="D6" i="14"/>
  <c r="CA37" i="13"/>
  <c r="BZ37" i="13"/>
  <c r="BY37" i="13"/>
  <c r="BX37" i="13"/>
  <c r="BW37" i="13"/>
  <c r="BV37" i="13"/>
  <c r="BU37" i="13"/>
  <c r="BT37" i="13"/>
  <c r="BS37" i="13"/>
  <c r="BR37" i="13"/>
  <c r="BQ37" i="13"/>
  <c r="BP37" i="13"/>
  <c r="BO37" i="13"/>
  <c r="BN37" i="13"/>
  <c r="BM37" i="13"/>
  <c r="BL37" i="13"/>
  <c r="BK37" i="13"/>
  <c r="BJ37" i="13"/>
  <c r="BI37" i="13"/>
  <c r="BH37" i="13"/>
  <c r="BG37" i="13"/>
  <c r="BF37" i="13"/>
  <c r="BE37" i="13"/>
  <c r="BD37" i="13"/>
  <c r="BC37" i="13"/>
  <c r="BB37" i="13"/>
  <c r="BA37" i="13"/>
  <c r="AZ37" i="13"/>
  <c r="AY37" i="13"/>
  <c r="AX37" i="13"/>
  <c r="AW37" i="13"/>
  <c r="AV37" i="13"/>
  <c r="AU37" i="13"/>
  <c r="AT37" i="13"/>
  <c r="AS37" i="13"/>
  <c r="AR37" i="13"/>
  <c r="AQ37" i="13"/>
  <c r="AP37" i="13"/>
  <c r="AO37" i="13"/>
  <c r="AN37" i="13"/>
  <c r="AM37" i="13"/>
  <c r="AL37" i="13"/>
  <c r="AK37" i="13"/>
  <c r="AJ37" i="13"/>
  <c r="AI37" i="13"/>
  <c r="AH37" i="13"/>
  <c r="AG37" i="13"/>
  <c r="AF37" i="13"/>
  <c r="AE37" i="13"/>
  <c r="AD37" i="13"/>
  <c r="AC37" i="13"/>
  <c r="AB37" i="13"/>
  <c r="AA37" i="13"/>
  <c r="Z37" i="13"/>
  <c r="Y37" i="13"/>
  <c r="X37" i="13"/>
  <c r="W37" i="13"/>
  <c r="V37" i="13"/>
  <c r="V54" i="13" s="1"/>
  <c r="U37" i="13"/>
  <c r="U54" i="13" s="1"/>
  <c r="T37" i="13"/>
  <c r="T54" i="13" s="1"/>
  <c r="S37" i="13"/>
  <c r="S54" i="13" s="1"/>
  <c r="R37" i="13"/>
  <c r="R54" i="13" s="1"/>
  <c r="Q37" i="13"/>
  <c r="Q54" i="13" s="1"/>
  <c r="P37" i="13"/>
  <c r="P54" i="13" s="1"/>
  <c r="O37" i="13"/>
  <c r="O54" i="13" s="1"/>
  <c r="N37" i="13"/>
  <c r="N54" i="13" s="1"/>
  <c r="M37" i="13"/>
  <c r="M54" i="13" s="1"/>
  <c r="L37" i="13"/>
  <c r="L54" i="13" s="1"/>
  <c r="K37" i="13"/>
  <c r="K54" i="13" s="1"/>
  <c r="J37" i="13"/>
  <c r="J54" i="13" s="1"/>
  <c r="I37" i="13"/>
  <c r="H37" i="13"/>
  <c r="G37" i="13"/>
  <c r="F37" i="13"/>
  <c r="E37" i="13"/>
  <c r="D37" i="13"/>
  <c r="C37" i="13"/>
  <c r="B37" i="13"/>
  <c r="CA35" i="13"/>
  <c r="BZ35" i="13"/>
  <c r="BY35" i="13"/>
  <c r="BX35" i="13"/>
  <c r="BW35" i="13"/>
  <c r="BV35" i="13"/>
  <c r="BU35" i="13"/>
  <c r="BT35" i="13"/>
  <c r="BS35" i="13"/>
  <c r="BR35" i="13"/>
  <c r="BQ35" i="13"/>
  <c r="BP35" i="13"/>
  <c r="BO35" i="13"/>
  <c r="BN35" i="13"/>
  <c r="BM35" i="13"/>
  <c r="BL35" i="13"/>
  <c r="BK35" i="13"/>
  <c r="BJ35" i="13"/>
  <c r="BI35" i="13"/>
  <c r="BH35" i="13"/>
  <c r="BG35" i="13"/>
  <c r="BF35" i="13"/>
  <c r="BE35" i="13"/>
  <c r="BD35" i="13"/>
  <c r="BC35" i="13"/>
  <c r="BB35" i="13"/>
  <c r="BA35" i="13"/>
  <c r="AZ35" i="13"/>
  <c r="AY35" i="13"/>
  <c r="AX35" i="13"/>
  <c r="AW35" i="13"/>
  <c r="AV35" i="13"/>
  <c r="AU35" i="13"/>
  <c r="AT35" i="13"/>
  <c r="AS35" i="13"/>
  <c r="AR35" i="13"/>
  <c r="AQ35" i="13"/>
  <c r="AP35" i="13"/>
  <c r="AO35" i="13"/>
  <c r="AN35" i="13"/>
  <c r="AM35" i="13"/>
  <c r="AL35" i="13"/>
  <c r="AK35" i="13"/>
  <c r="AJ35" i="13"/>
  <c r="AI35" i="13"/>
  <c r="AH35" i="13"/>
  <c r="AG35" i="13"/>
  <c r="AF35" i="13"/>
  <c r="AE35" i="13"/>
  <c r="AD35" i="13"/>
  <c r="AC35" i="13"/>
  <c r="AB35" i="13"/>
  <c r="AA35" i="13"/>
  <c r="Z35" i="13"/>
  <c r="Y35" i="13"/>
  <c r="X35" i="13"/>
  <c r="W35" i="13"/>
  <c r="V35" i="13"/>
  <c r="V48" i="13" s="1"/>
  <c r="U35" i="13"/>
  <c r="U48" i="13" s="1"/>
  <c r="T35" i="13"/>
  <c r="T48" i="13" s="1"/>
  <c r="S35" i="13"/>
  <c r="S48" i="13" s="1"/>
  <c r="R35" i="13"/>
  <c r="R48" i="13" s="1"/>
  <c r="Q35" i="13"/>
  <c r="Q48" i="13" s="1"/>
  <c r="P35" i="13"/>
  <c r="P48" i="13" s="1"/>
  <c r="O35" i="13"/>
  <c r="O48" i="13" s="1"/>
  <c r="N35" i="13"/>
  <c r="N48" i="13" s="1"/>
  <c r="M35" i="13"/>
  <c r="M48" i="13" s="1"/>
  <c r="L35" i="13"/>
  <c r="L48" i="13" s="1"/>
  <c r="K35" i="13"/>
  <c r="K48" i="13" s="1"/>
  <c r="J35" i="13"/>
  <c r="J48" i="13" s="1"/>
  <c r="I35" i="13"/>
  <c r="I48" i="13" s="1"/>
  <c r="H35" i="13"/>
  <c r="G35" i="13"/>
  <c r="F35" i="13"/>
  <c r="E35" i="13"/>
  <c r="D35" i="13"/>
  <c r="C35" i="13"/>
  <c r="B35" i="13"/>
  <c r="J14" i="13"/>
  <c r="F14" i="13"/>
  <c r="C14" i="13"/>
  <c r="J13" i="13"/>
  <c r="F13" i="13"/>
  <c r="C13" i="13"/>
  <c r="J12" i="13"/>
  <c r="I12" i="13"/>
  <c r="F12" i="13"/>
  <c r="E12" i="13"/>
  <c r="C12" i="13"/>
  <c r="B12" i="13"/>
  <c r="J11" i="13"/>
  <c r="F11" i="13"/>
  <c r="C11" i="13"/>
  <c r="J10" i="13"/>
  <c r="F10" i="13"/>
  <c r="C10" i="13"/>
  <c r="J9" i="13"/>
  <c r="I9" i="13"/>
  <c r="F9" i="13"/>
  <c r="E9" i="13"/>
  <c r="C9" i="13"/>
  <c r="B9" i="13"/>
  <c r="L62" i="12"/>
  <c r="D62" i="12"/>
  <c r="C62" i="12"/>
  <c r="C61" i="12"/>
  <c r="Q60" i="12"/>
  <c r="P60" i="12"/>
  <c r="O60" i="12"/>
  <c r="N60" i="12"/>
  <c r="M60" i="12"/>
  <c r="L60" i="12"/>
  <c r="K60" i="12"/>
  <c r="J60" i="12"/>
  <c r="I60" i="12"/>
  <c r="H60" i="12"/>
  <c r="G60" i="12"/>
  <c r="F60" i="12"/>
  <c r="E60" i="12"/>
  <c r="D60" i="12"/>
  <c r="Q59" i="12"/>
  <c r="Q62" i="12" s="1"/>
  <c r="P59" i="12"/>
  <c r="P62" i="12" s="1"/>
  <c r="O59" i="12"/>
  <c r="O62" i="12" s="1"/>
  <c r="N59" i="12"/>
  <c r="N62" i="12" s="1"/>
  <c r="M59" i="12"/>
  <c r="M62" i="12" s="1"/>
  <c r="L59" i="12"/>
  <c r="K59" i="12"/>
  <c r="K62" i="12" s="1"/>
  <c r="J59" i="12"/>
  <c r="J62" i="12" s="1"/>
  <c r="I59" i="12"/>
  <c r="I62" i="12" s="1"/>
  <c r="H59" i="12"/>
  <c r="H62" i="12" s="1"/>
  <c r="G59" i="12"/>
  <c r="G62" i="12" s="1"/>
  <c r="F59" i="12"/>
  <c r="F62" i="12" s="1"/>
  <c r="E59" i="12"/>
  <c r="I80" i="9" s="1"/>
  <c r="D59" i="12"/>
  <c r="M52" i="12"/>
  <c r="E52" i="12"/>
  <c r="C52" i="12"/>
  <c r="C51" i="12"/>
  <c r="Q50" i="12"/>
  <c r="P50" i="12"/>
  <c r="O50" i="12"/>
  <c r="N50" i="12"/>
  <c r="M50" i="12"/>
  <c r="L50" i="12"/>
  <c r="K50" i="12"/>
  <c r="J50" i="12"/>
  <c r="I50" i="12"/>
  <c r="H50" i="12"/>
  <c r="G50" i="12"/>
  <c r="F50" i="12"/>
  <c r="E50" i="12"/>
  <c r="D50" i="12"/>
  <c r="Q49" i="12"/>
  <c r="Q52" i="12" s="1"/>
  <c r="P49" i="12"/>
  <c r="P52" i="12" s="1"/>
  <c r="O49" i="12"/>
  <c r="O52" i="12" s="1"/>
  <c r="N49" i="12"/>
  <c r="N52" i="12" s="1"/>
  <c r="M49" i="12"/>
  <c r="L49" i="12"/>
  <c r="L52" i="12" s="1"/>
  <c r="K49" i="12"/>
  <c r="K52" i="12" s="1"/>
  <c r="J49" i="12"/>
  <c r="J52" i="12" s="1"/>
  <c r="I49" i="12"/>
  <c r="I52" i="12" s="1"/>
  <c r="H49" i="12"/>
  <c r="H52" i="12" s="1"/>
  <c r="G49" i="12"/>
  <c r="G52" i="12" s="1"/>
  <c r="F49" i="12"/>
  <c r="F52" i="12" s="1"/>
  <c r="E49" i="12"/>
  <c r="D49" i="12"/>
  <c r="D44" i="12"/>
  <c r="C40" i="12"/>
  <c r="C38" i="12"/>
  <c r="R35" i="12"/>
  <c r="Q35" i="12"/>
  <c r="P35" i="12"/>
  <c r="O35" i="12"/>
  <c r="N35" i="12"/>
  <c r="M35" i="12"/>
  <c r="L35" i="12"/>
  <c r="K35" i="12"/>
  <c r="J35" i="12"/>
  <c r="I35" i="12"/>
  <c r="H35" i="12"/>
  <c r="G35" i="12"/>
  <c r="F35" i="12"/>
  <c r="E35" i="12"/>
  <c r="D35" i="12"/>
  <c r="R34" i="12"/>
  <c r="Q34" i="12"/>
  <c r="P34" i="12"/>
  <c r="O34" i="12"/>
  <c r="N34" i="12"/>
  <c r="M34" i="12"/>
  <c r="L34" i="12"/>
  <c r="K34" i="12"/>
  <c r="J34" i="12"/>
  <c r="I34" i="12"/>
  <c r="H34" i="12"/>
  <c r="G34" i="12"/>
  <c r="F34" i="12"/>
  <c r="E34" i="12"/>
  <c r="D34" i="12"/>
  <c r="R33" i="12"/>
  <c r="Q33" i="12"/>
  <c r="P33" i="12"/>
  <c r="O33" i="12"/>
  <c r="N33" i="12"/>
  <c r="M33" i="12"/>
  <c r="L33" i="12"/>
  <c r="K33" i="12"/>
  <c r="J33" i="12"/>
  <c r="I33" i="12"/>
  <c r="H33" i="12"/>
  <c r="G33" i="12"/>
  <c r="F33" i="12"/>
  <c r="E33" i="12"/>
  <c r="D33" i="12"/>
  <c r="R32" i="12"/>
  <c r="Q32" i="12"/>
  <c r="P32" i="12"/>
  <c r="O32" i="12"/>
  <c r="N32" i="12"/>
  <c r="M32" i="12"/>
  <c r="L32" i="12"/>
  <c r="K32" i="12"/>
  <c r="J32" i="12"/>
  <c r="I32" i="12"/>
  <c r="H32" i="12"/>
  <c r="G32" i="12"/>
  <c r="F32" i="12"/>
  <c r="E32" i="12"/>
  <c r="D32" i="12"/>
  <c r="R31" i="12"/>
  <c r="Q31" i="12"/>
  <c r="P31" i="12"/>
  <c r="P40" i="12" s="1"/>
  <c r="O31" i="12"/>
  <c r="N31" i="12"/>
  <c r="M31" i="12"/>
  <c r="L31" i="12"/>
  <c r="L40" i="12" s="1"/>
  <c r="K31" i="12"/>
  <c r="J31" i="12"/>
  <c r="I31" i="12"/>
  <c r="H31" i="12"/>
  <c r="H40" i="12" s="1"/>
  <c r="G31" i="12"/>
  <c r="F31" i="12"/>
  <c r="E31" i="12"/>
  <c r="D31" i="12"/>
  <c r="D40" i="12" s="1"/>
  <c r="C24" i="12"/>
  <c r="C22" i="12"/>
  <c r="R19" i="12"/>
  <c r="Q19" i="12"/>
  <c r="P19" i="12"/>
  <c r="O19" i="12"/>
  <c r="N19" i="12"/>
  <c r="M19" i="12"/>
  <c r="L19" i="12"/>
  <c r="K19" i="12"/>
  <c r="J19" i="12"/>
  <c r="I19" i="12"/>
  <c r="H19" i="12"/>
  <c r="G19" i="12"/>
  <c r="F19" i="12"/>
  <c r="E19" i="12"/>
  <c r="D19" i="12"/>
  <c r="R18" i="12"/>
  <c r="Q18" i="12"/>
  <c r="P18" i="12"/>
  <c r="O18" i="12"/>
  <c r="N18" i="12"/>
  <c r="M18" i="12"/>
  <c r="L18" i="12"/>
  <c r="K18" i="12"/>
  <c r="J18" i="12"/>
  <c r="I18" i="12"/>
  <c r="H18" i="12"/>
  <c r="G18" i="12"/>
  <c r="F18" i="12"/>
  <c r="E18" i="12"/>
  <c r="D18" i="12"/>
  <c r="R17" i="12"/>
  <c r="Q17" i="12"/>
  <c r="P17" i="12"/>
  <c r="O17" i="12"/>
  <c r="N17" i="12"/>
  <c r="M17" i="12"/>
  <c r="L17" i="12"/>
  <c r="K17" i="12"/>
  <c r="J17" i="12"/>
  <c r="I17" i="12"/>
  <c r="H17" i="12"/>
  <c r="G17" i="12"/>
  <c r="F17" i="12"/>
  <c r="E17" i="12"/>
  <c r="D17" i="12"/>
  <c r="R16" i="12"/>
  <c r="Q16" i="12"/>
  <c r="P16" i="12"/>
  <c r="O16" i="12"/>
  <c r="N16" i="12"/>
  <c r="M16" i="12"/>
  <c r="L16" i="12"/>
  <c r="K16" i="12"/>
  <c r="J16" i="12"/>
  <c r="I16" i="12"/>
  <c r="H16" i="12"/>
  <c r="G16" i="12"/>
  <c r="F16" i="12"/>
  <c r="E16" i="12"/>
  <c r="D16" i="12"/>
  <c r="R15" i="12"/>
  <c r="Q15" i="12"/>
  <c r="Q24" i="12" s="1"/>
  <c r="P15" i="12"/>
  <c r="O15" i="12"/>
  <c r="N15" i="12"/>
  <c r="M15" i="12"/>
  <c r="M24" i="12" s="1"/>
  <c r="L15" i="12"/>
  <c r="K15" i="12"/>
  <c r="J15" i="12"/>
  <c r="I15" i="12"/>
  <c r="I24" i="12" s="1"/>
  <c r="H15" i="12"/>
  <c r="G15" i="12"/>
  <c r="F15" i="12"/>
  <c r="E15" i="12"/>
  <c r="E24" i="12" s="1"/>
  <c r="D15" i="12"/>
  <c r="B8" i="12"/>
  <c r="R17" i="6"/>
  <c r="L17" i="6"/>
  <c r="I17" i="6"/>
  <c r="D17" i="6"/>
  <c r="C17" i="6"/>
  <c r="C16" i="6"/>
  <c r="Q15" i="6"/>
  <c r="P15" i="6"/>
  <c r="O15" i="6"/>
  <c r="N15" i="6"/>
  <c r="M15" i="6"/>
  <c r="L15" i="6"/>
  <c r="K15" i="6"/>
  <c r="J15" i="6"/>
  <c r="I15" i="6"/>
  <c r="H15" i="6"/>
  <c r="G15" i="6"/>
  <c r="F15" i="6"/>
  <c r="E15" i="6"/>
  <c r="D15" i="6"/>
  <c r="Q14" i="6"/>
  <c r="Q17" i="6" s="1"/>
  <c r="P14" i="6"/>
  <c r="P17" i="6" s="1"/>
  <c r="O14" i="6"/>
  <c r="O17" i="6" s="1"/>
  <c r="N14" i="6"/>
  <c r="N17" i="6" s="1"/>
  <c r="M14" i="6"/>
  <c r="M17" i="6" s="1"/>
  <c r="L14" i="6"/>
  <c r="K14" i="6"/>
  <c r="K17" i="6" s="1"/>
  <c r="J14" i="6"/>
  <c r="J17" i="6" s="1"/>
  <c r="I14" i="6"/>
  <c r="H14" i="6"/>
  <c r="H17" i="6" s="1"/>
  <c r="G14" i="6"/>
  <c r="G17" i="6" s="1"/>
  <c r="F14" i="6"/>
  <c r="E14" i="6"/>
  <c r="E17" i="6" s="1"/>
  <c r="D14" i="6"/>
  <c r="B8" i="6"/>
  <c r="E35" i="1"/>
  <c r="G29" i="1"/>
  <c r="E29" i="1"/>
  <c r="D29" i="1"/>
  <c r="B25" i="1"/>
  <c r="G15" i="1"/>
  <c r="C60" i="4"/>
  <c r="N54" i="4"/>
  <c r="M54" i="4"/>
  <c r="F54" i="4"/>
  <c r="E54" i="4"/>
  <c r="B54" i="4"/>
  <c r="B53" i="4"/>
  <c r="B51" i="4"/>
  <c r="B50" i="4"/>
  <c r="Q49" i="4"/>
  <c r="P49" i="4"/>
  <c r="O49" i="4"/>
  <c r="N49" i="4"/>
  <c r="M49" i="4"/>
  <c r="L49" i="4"/>
  <c r="K49" i="4"/>
  <c r="J49" i="4"/>
  <c r="I49" i="4"/>
  <c r="H49" i="4"/>
  <c r="G49" i="4"/>
  <c r="F49" i="4"/>
  <c r="E49" i="4"/>
  <c r="D49" i="4"/>
  <c r="C49" i="4"/>
  <c r="Q48" i="4"/>
  <c r="P48" i="4"/>
  <c r="O48" i="4"/>
  <c r="N48" i="4"/>
  <c r="M48" i="4"/>
  <c r="L48" i="4"/>
  <c r="K48" i="4"/>
  <c r="J48" i="4"/>
  <c r="I48" i="4"/>
  <c r="H48" i="4"/>
  <c r="G48" i="4"/>
  <c r="F48" i="4"/>
  <c r="E48" i="4"/>
  <c r="D48" i="4"/>
  <c r="C48" i="4"/>
  <c r="Q47" i="4"/>
  <c r="Q54" i="4" s="1"/>
  <c r="P47" i="4"/>
  <c r="P54" i="4" s="1"/>
  <c r="O47" i="4"/>
  <c r="O54" i="4" s="1"/>
  <c r="N47" i="4"/>
  <c r="M47" i="4"/>
  <c r="L47" i="4"/>
  <c r="L54" i="4" s="1"/>
  <c r="K47" i="4"/>
  <c r="K54" i="4" s="1"/>
  <c r="J47" i="4"/>
  <c r="J54" i="4" s="1"/>
  <c r="I47" i="4"/>
  <c r="I54" i="4" s="1"/>
  <c r="H47" i="4"/>
  <c r="H54" i="4" s="1"/>
  <c r="G47" i="4"/>
  <c r="G54" i="4" s="1"/>
  <c r="F47" i="4"/>
  <c r="E47" i="4"/>
  <c r="D47" i="4"/>
  <c r="D54" i="4" s="1"/>
  <c r="C47" i="4"/>
  <c r="C54" i="4" s="1"/>
  <c r="C40" i="4"/>
  <c r="P33" i="4"/>
  <c r="O33" i="4"/>
  <c r="L33" i="4"/>
  <c r="H33" i="4"/>
  <c r="G33" i="4"/>
  <c r="D33" i="4"/>
  <c r="B33" i="4"/>
  <c r="B32" i="4"/>
  <c r="B30" i="4"/>
  <c r="B29" i="4"/>
  <c r="Q28" i="4"/>
  <c r="P28" i="4"/>
  <c r="O28" i="4"/>
  <c r="N28" i="4"/>
  <c r="M28" i="4"/>
  <c r="L28" i="4"/>
  <c r="K28" i="4"/>
  <c r="J28" i="4"/>
  <c r="I28" i="4"/>
  <c r="H28" i="4"/>
  <c r="G28" i="4"/>
  <c r="F28" i="4"/>
  <c r="E28" i="4"/>
  <c r="D28" i="4"/>
  <c r="C28" i="4"/>
  <c r="Q27" i="4"/>
  <c r="P27" i="4"/>
  <c r="O27" i="4"/>
  <c r="N27" i="4"/>
  <c r="M27" i="4"/>
  <c r="L27" i="4"/>
  <c r="K27" i="4"/>
  <c r="J27" i="4"/>
  <c r="I27" i="4"/>
  <c r="H27" i="4"/>
  <c r="G27" i="4"/>
  <c r="F27" i="4"/>
  <c r="E27" i="4"/>
  <c r="D27" i="4"/>
  <c r="C27" i="4"/>
  <c r="Q26" i="4"/>
  <c r="Q33" i="4" s="1"/>
  <c r="P26" i="4"/>
  <c r="O26" i="4"/>
  <c r="N26" i="4"/>
  <c r="N33" i="4" s="1"/>
  <c r="M26" i="4"/>
  <c r="M33" i="4" s="1"/>
  <c r="L26" i="4"/>
  <c r="K26" i="4"/>
  <c r="K33" i="4" s="1"/>
  <c r="J26" i="4"/>
  <c r="J33" i="4" s="1"/>
  <c r="I26" i="4"/>
  <c r="I33" i="4" s="1"/>
  <c r="H26" i="4"/>
  <c r="G26" i="4"/>
  <c r="F26" i="4"/>
  <c r="F33" i="4" s="1"/>
  <c r="E26" i="4"/>
  <c r="E33" i="4" s="1"/>
  <c r="D26" i="4"/>
  <c r="C26" i="4"/>
  <c r="C33" i="4" s="1"/>
  <c r="C19" i="4"/>
  <c r="Q13" i="4"/>
  <c r="M13" i="4"/>
  <c r="J13" i="4"/>
  <c r="I13" i="4"/>
  <c r="E13" i="4"/>
  <c r="B13" i="4"/>
  <c r="B12" i="4"/>
  <c r="B10" i="4"/>
  <c r="B9" i="4"/>
  <c r="Q8" i="4"/>
  <c r="P8" i="4"/>
  <c r="O8" i="4"/>
  <c r="N8" i="4"/>
  <c r="M8" i="4"/>
  <c r="L8" i="4"/>
  <c r="K8" i="4"/>
  <c r="J8" i="4"/>
  <c r="I8" i="4"/>
  <c r="H8" i="4"/>
  <c r="G8" i="4"/>
  <c r="F8" i="4"/>
  <c r="E8" i="4"/>
  <c r="D8" i="4"/>
  <c r="C8" i="4"/>
  <c r="Q7" i="4"/>
  <c r="P7" i="4"/>
  <c r="O7" i="4"/>
  <c r="N7" i="4"/>
  <c r="M7" i="4"/>
  <c r="L7" i="4"/>
  <c r="K7" i="4"/>
  <c r="J7" i="4"/>
  <c r="I7" i="4"/>
  <c r="H7" i="4"/>
  <c r="G7" i="4"/>
  <c r="F7" i="4"/>
  <c r="E7" i="4"/>
  <c r="D7" i="4"/>
  <c r="C7" i="4"/>
  <c r="Q6" i="4"/>
  <c r="P6" i="4"/>
  <c r="P13" i="4" s="1"/>
  <c r="O6" i="4"/>
  <c r="O13" i="4" s="1"/>
  <c r="N6" i="4"/>
  <c r="N13" i="4" s="1"/>
  <c r="M6" i="4"/>
  <c r="L6" i="4"/>
  <c r="L13" i="4" s="1"/>
  <c r="K6" i="4"/>
  <c r="K13" i="4" s="1"/>
  <c r="J6" i="4"/>
  <c r="I6" i="4"/>
  <c r="H6" i="4"/>
  <c r="H13" i="4" s="1"/>
  <c r="G6" i="4"/>
  <c r="G13" i="4" s="1"/>
  <c r="F6" i="4"/>
  <c r="F13" i="4" s="1"/>
  <c r="E6" i="4"/>
  <c r="D6" i="4"/>
  <c r="D13" i="4" s="1"/>
  <c r="C6" i="4"/>
  <c r="C13" i="4" s="1"/>
  <c r="H24" i="8"/>
  <c r="D24" i="8"/>
  <c r="C24" i="8"/>
  <c r="C21" i="8"/>
  <c r="R18" i="8"/>
  <c r="Q18" i="8"/>
  <c r="P18" i="8"/>
  <c r="O18" i="8"/>
  <c r="N18" i="8"/>
  <c r="M18" i="8"/>
  <c r="L18" i="8"/>
  <c r="K18" i="8"/>
  <c r="J18" i="8"/>
  <c r="I18" i="8"/>
  <c r="H18" i="8"/>
  <c r="G18" i="8"/>
  <c r="F18" i="8"/>
  <c r="E18" i="8"/>
  <c r="D18" i="8"/>
  <c r="R17" i="8"/>
  <c r="Q17" i="8"/>
  <c r="P17" i="8"/>
  <c r="O17" i="8"/>
  <c r="N17" i="8"/>
  <c r="M17" i="8"/>
  <c r="L17" i="8"/>
  <c r="K17" i="8"/>
  <c r="J17" i="8"/>
  <c r="I17" i="8"/>
  <c r="H17" i="8"/>
  <c r="G17" i="8"/>
  <c r="F17" i="8"/>
  <c r="E17" i="8"/>
  <c r="D17" i="8"/>
  <c r="R16" i="8"/>
  <c r="Q16" i="8"/>
  <c r="P16" i="8"/>
  <c r="O16" i="8"/>
  <c r="N16" i="8"/>
  <c r="M16" i="8"/>
  <c r="L16" i="8"/>
  <c r="K16" i="8"/>
  <c r="J16" i="8"/>
  <c r="I16" i="8"/>
  <c r="H16" i="8"/>
  <c r="G16" i="8"/>
  <c r="F16" i="8"/>
  <c r="E16" i="8"/>
  <c r="D16" i="8"/>
  <c r="R15" i="8"/>
  <c r="Q15" i="8"/>
  <c r="P15" i="8"/>
  <c r="O15" i="8"/>
  <c r="O24" i="8" s="1"/>
  <c r="N15" i="8"/>
  <c r="M15" i="8"/>
  <c r="L15" i="8"/>
  <c r="K15" i="8"/>
  <c r="K24" i="8" s="1"/>
  <c r="J15" i="8"/>
  <c r="I15" i="8"/>
  <c r="H15" i="8"/>
  <c r="G15" i="8"/>
  <c r="G24" i="8" s="1"/>
  <c r="F15" i="8"/>
  <c r="J31" i="9" s="1"/>
  <c r="E15" i="8"/>
  <c r="D15" i="8"/>
  <c r="R14" i="8"/>
  <c r="Q14" i="8"/>
  <c r="Q24" i="8" s="1"/>
  <c r="P14" i="8"/>
  <c r="P24" i="8" s="1"/>
  <c r="O14" i="8"/>
  <c r="N14" i="8"/>
  <c r="M14" i="8"/>
  <c r="M24" i="8" s="1"/>
  <c r="L14" i="8"/>
  <c r="L24" i="8" s="1"/>
  <c r="K14" i="8"/>
  <c r="J14" i="8"/>
  <c r="I14" i="8"/>
  <c r="I24" i="8" s="1"/>
  <c r="H14" i="8"/>
  <c r="G14" i="8"/>
  <c r="F14" i="8"/>
  <c r="E14" i="8"/>
  <c r="D54" i="9" s="1"/>
  <c r="D14" i="8"/>
  <c r="B8" i="8"/>
  <c r="F164" i="9"/>
  <c r="D164" i="9"/>
  <c r="F163" i="9"/>
  <c r="D163" i="9"/>
  <c r="F162" i="9"/>
  <c r="E162" i="9"/>
  <c r="D162" i="9"/>
  <c r="C162" i="9"/>
  <c r="C167" i="9" s="1"/>
  <c r="F161" i="9"/>
  <c r="D161" i="9"/>
  <c r="F160" i="9"/>
  <c r="D160" i="9"/>
  <c r="F159" i="9"/>
  <c r="E159" i="9"/>
  <c r="D159" i="9"/>
  <c r="C159" i="9"/>
  <c r="F157" i="9"/>
  <c r="J87" i="9"/>
  <c r="H87" i="9"/>
  <c r="D87" i="9"/>
  <c r="J86" i="9"/>
  <c r="H86" i="9"/>
  <c r="D86" i="9"/>
  <c r="J85" i="9"/>
  <c r="I85" i="9"/>
  <c r="H85" i="9"/>
  <c r="G85" i="9"/>
  <c r="D85" i="9"/>
  <c r="C85" i="9"/>
  <c r="J84" i="9"/>
  <c r="H84" i="9"/>
  <c r="D84" i="9"/>
  <c r="J83" i="9"/>
  <c r="H83" i="9"/>
  <c r="D83" i="9"/>
  <c r="J82" i="9"/>
  <c r="I82" i="9"/>
  <c r="H82" i="9"/>
  <c r="G82" i="9"/>
  <c r="D82" i="9"/>
  <c r="C82" i="9"/>
  <c r="J61" i="9"/>
  <c r="H61" i="9"/>
  <c r="D61" i="9"/>
  <c r="J60" i="9"/>
  <c r="H60" i="9"/>
  <c r="D60" i="9"/>
  <c r="J59" i="9"/>
  <c r="I59" i="9"/>
  <c r="H59" i="9"/>
  <c r="G59" i="9"/>
  <c r="D59" i="9"/>
  <c r="C59" i="9"/>
  <c r="J58" i="9"/>
  <c r="H58" i="9"/>
  <c r="D58" i="9"/>
  <c r="J57" i="9"/>
  <c r="H57" i="9"/>
  <c r="D57" i="9"/>
  <c r="J56" i="9"/>
  <c r="I56" i="9"/>
  <c r="H56" i="9"/>
  <c r="G56" i="9"/>
  <c r="D56" i="9"/>
  <c r="C56" i="9"/>
  <c r="J37" i="9"/>
  <c r="H37" i="9"/>
  <c r="D37" i="9"/>
  <c r="J36" i="9"/>
  <c r="H36" i="9"/>
  <c r="D36" i="9"/>
  <c r="J35" i="9"/>
  <c r="I35" i="9"/>
  <c r="H35" i="9"/>
  <c r="G35" i="9"/>
  <c r="D35" i="9"/>
  <c r="C35" i="9"/>
  <c r="J34" i="9"/>
  <c r="H34" i="9"/>
  <c r="D34" i="9"/>
  <c r="J33" i="9"/>
  <c r="H33" i="9"/>
  <c r="D33" i="9"/>
  <c r="J32" i="9"/>
  <c r="I32" i="9"/>
  <c r="H32" i="9"/>
  <c r="G32" i="9"/>
  <c r="D32" i="9"/>
  <c r="C32" i="9"/>
  <c r="D17" i="9"/>
  <c r="D16" i="9"/>
  <c r="D15" i="9"/>
  <c r="C15" i="9"/>
  <c r="D14" i="9"/>
  <c r="D13" i="9"/>
  <c r="D12" i="9"/>
  <c r="C12" i="9"/>
  <c r="D11" i="9"/>
  <c r="N64" i="14" l="1"/>
  <c r="J64" i="14"/>
  <c r="U40" i="13"/>
  <c r="Q40" i="13"/>
  <c r="M40" i="13"/>
  <c r="I41" i="13"/>
  <c r="I51" i="13"/>
  <c r="T40" i="13"/>
  <c r="P40" i="13"/>
  <c r="L40" i="13"/>
  <c r="V42" i="13"/>
  <c r="I40" i="13"/>
  <c r="S40" i="13"/>
  <c r="O40" i="13"/>
  <c r="K40" i="13"/>
  <c r="I42" i="13"/>
  <c r="K49" i="13"/>
  <c r="V40" i="13"/>
  <c r="R40" i="13"/>
  <c r="N40" i="13"/>
  <c r="J40" i="13"/>
  <c r="I49" i="13"/>
  <c r="I55" i="13"/>
  <c r="N52" i="13"/>
  <c r="T46" i="13"/>
  <c r="P49" i="13"/>
  <c r="O49" i="13"/>
  <c r="B48" i="13"/>
  <c r="B45" i="13"/>
  <c r="P55" i="13"/>
  <c r="V52" i="13"/>
  <c r="P46" i="13"/>
  <c r="T49" i="13"/>
  <c r="L49" i="13"/>
  <c r="L46" i="13"/>
  <c r="T55" i="13"/>
  <c r="J52" i="13"/>
  <c r="Q46" i="13"/>
  <c r="L55" i="13"/>
  <c r="R52" i="13"/>
  <c r="U46" i="13"/>
  <c r="M46" i="13"/>
  <c r="S49" i="13"/>
  <c r="R42" i="13"/>
  <c r="S42" i="13"/>
  <c r="U42" i="13"/>
  <c r="Q42" i="13"/>
  <c r="M42" i="13"/>
  <c r="B51" i="13"/>
  <c r="B54" i="13"/>
  <c r="O42" i="13"/>
  <c r="K42" i="13"/>
  <c r="N42" i="13"/>
  <c r="J42" i="13"/>
  <c r="S55" i="13"/>
  <c r="O55" i="13"/>
  <c r="K55" i="13"/>
  <c r="U52" i="13"/>
  <c r="Q52" i="13"/>
  <c r="M52" i="13"/>
  <c r="V55" i="13"/>
  <c r="R55" i="13"/>
  <c r="N55" i="13"/>
  <c r="J55" i="13"/>
  <c r="T52" i="13"/>
  <c r="P52" i="13"/>
  <c r="L52" i="13"/>
  <c r="S46" i="13"/>
  <c r="O46" i="13"/>
  <c r="K46" i="13"/>
  <c r="V49" i="13"/>
  <c r="R49" i="13"/>
  <c r="N49" i="13"/>
  <c r="J49" i="13"/>
  <c r="T42" i="13"/>
  <c r="P42" i="13"/>
  <c r="L42" i="13"/>
  <c r="U55" i="13"/>
  <c r="Q55" i="13"/>
  <c r="M55" i="13"/>
  <c r="S52" i="13"/>
  <c r="O52" i="13"/>
  <c r="K52" i="13"/>
  <c r="V46" i="13"/>
  <c r="R46" i="13"/>
  <c r="N46" i="13"/>
  <c r="J46" i="13"/>
  <c r="U49" i="13"/>
  <c r="Q49" i="13"/>
  <c r="M49" i="13"/>
  <c r="I90" i="9"/>
  <c r="H116" i="9"/>
  <c r="I114" i="9"/>
  <c r="I118" i="9" s="1"/>
  <c r="I116" i="9"/>
  <c r="F116" i="9"/>
  <c r="J116" i="9"/>
  <c r="D118" i="9"/>
  <c r="G116" i="9"/>
  <c r="G118" i="9"/>
  <c r="K118" i="9"/>
  <c r="K116" i="9"/>
  <c r="B46" i="13"/>
  <c r="I30" i="9"/>
  <c r="I40" i="9" s="1"/>
  <c r="H80" i="9"/>
  <c r="N24" i="12"/>
  <c r="R24" i="12"/>
  <c r="J80" i="9"/>
  <c r="J81" i="9"/>
  <c r="L64" i="14"/>
  <c r="J54" i="9"/>
  <c r="E62" i="12"/>
  <c r="D23" i="14"/>
  <c r="H23" i="14"/>
  <c r="L23" i="14"/>
  <c r="P23" i="14"/>
  <c r="B15" i="4"/>
  <c r="J24" i="12"/>
  <c r="H81" i="9"/>
  <c r="I40" i="12"/>
  <c r="M40" i="12"/>
  <c r="Q40" i="12"/>
  <c r="H64" i="14"/>
  <c r="P64" i="14"/>
  <c r="B56" i="4"/>
  <c r="C7" i="13"/>
  <c r="C54" i="9"/>
  <c r="C64" i="9" s="1"/>
  <c r="J24" i="8"/>
  <c r="R24" i="8"/>
  <c r="G24" i="12"/>
  <c r="O24" i="12"/>
  <c r="J40" i="12"/>
  <c r="J7" i="13"/>
  <c r="E23" i="14"/>
  <c r="M23" i="14"/>
  <c r="C47" i="14"/>
  <c r="E64" i="14"/>
  <c r="Q64" i="14"/>
  <c r="C30" i="9"/>
  <c r="C80" i="9"/>
  <c r="C90" i="9" s="1"/>
  <c r="I92" i="9" s="1"/>
  <c r="H8" i="13"/>
  <c r="D24" i="12"/>
  <c r="H24" i="12"/>
  <c r="L24" i="12"/>
  <c r="P24" i="12"/>
  <c r="G40" i="12"/>
  <c r="K40" i="12"/>
  <c r="O40" i="12"/>
  <c r="D157" i="9"/>
  <c r="H54" i="9"/>
  <c r="E24" i="8"/>
  <c r="C26" i="8" s="1"/>
  <c r="D4" i="9" s="1"/>
  <c r="D80" i="9"/>
  <c r="J30" i="9"/>
  <c r="D30" i="9"/>
  <c r="F158" i="9"/>
  <c r="D81" i="9"/>
  <c r="H55" i="9"/>
  <c r="D31" i="9"/>
  <c r="C8" i="13"/>
  <c r="D158" i="9"/>
  <c r="D55" i="9"/>
  <c r="F24" i="12"/>
  <c r="C64" i="12"/>
  <c r="D69" i="14"/>
  <c r="D64" i="14"/>
  <c r="H31" i="9"/>
  <c r="J55" i="9"/>
  <c r="F24" i="8"/>
  <c r="N24" i="8"/>
  <c r="I7" i="13"/>
  <c r="I17" i="13" s="1"/>
  <c r="K24" i="12"/>
  <c r="F40" i="12"/>
  <c r="N40" i="12"/>
  <c r="R40" i="12"/>
  <c r="C43" i="12" s="1"/>
  <c r="E40" i="12"/>
  <c r="D52" i="12"/>
  <c r="C54" i="12" s="1"/>
  <c r="G80" i="9"/>
  <c r="G90" i="9" s="1"/>
  <c r="G92" i="9" s="1"/>
  <c r="I23" i="14"/>
  <c r="Q23" i="14"/>
  <c r="I64" i="14"/>
  <c r="M64" i="14"/>
  <c r="D10" i="9"/>
  <c r="H30" i="9"/>
  <c r="I54" i="9"/>
  <c r="I64" i="9" s="1"/>
  <c r="E157" i="9"/>
  <c r="E167" i="9" s="1"/>
  <c r="H7" i="13"/>
  <c r="B36" i="4"/>
  <c r="G30" i="9"/>
  <c r="C10" i="9"/>
  <c r="C20" i="9" s="1"/>
  <c r="G7" i="13"/>
  <c r="G17" i="13" s="1"/>
  <c r="F17" i="6"/>
  <c r="C157" i="9"/>
  <c r="G54" i="9"/>
  <c r="G64" i="9" s="1"/>
  <c r="E7" i="13"/>
  <c r="E17" i="13" s="1"/>
  <c r="C19" i="6"/>
  <c r="C4" i="9" s="1"/>
  <c r="D70" i="14"/>
  <c r="F7" i="13"/>
  <c r="F8" i="13"/>
  <c r="B7" i="13"/>
  <c r="B17" i="13" s="1"/>
  <c r="J8" i="13"/>
  <c r="P43" i="13"/>
  <c r="K41" i="13"/>
  <c r="O41" i="13"/>
  <c r="S41" i="13"/>
  <c r="L43" i="13"/>
  <c r="T43" i="13"/>
  <c r="S43" i="13"/>
  <c r="O43" i="13"/>
  <c r="K43" i="13"/>
  <c r="V41" i="13"/>
  <c r="R41" i="13"/>
  <c r="N41" i="13"/>
  <c r="J41" i="13"/>
  <c r="V43" i="13"/>
  <c r="R43" i="13"/>
  <c r="N43" i="13"/>
  <c r="J43" i="13"/>
  <c r="B43" i="13" s="1"/>
  <c r="U41" i="13"/>
  <c r="Q41" i="13"/>
  <c r="M41" i="13"/>
  <c r="U43" i="13"/>
  <c r="Q43" i="13"/>
  <c r="M43" i="13"/>
  <c r="T41" i="13"/>
  <c r="P41" i="13"/>
  <c r="L41" i="13"/>
  <c r="E19" i="13" l="1"/>
  <c r="G19" i="13"/>
  <c r="B49" i="13"/>
  <c r="B40" i="13"/>
  <c r="B42" i="13"/>
  <c r="B41" i="13"/>
  <c r="B55" i="13"/>
  <c r="B52" i="13"/>
  <c r="I19" i="13"/>
  <c r="G66" i="9"/>
  <c r="C25" i="14"/>
  <c r="I66" i="9"/>
  <c r="C67" i="14"/>
  <c r="S23" i="8"/>
  <c r="H89" i="9"/>
  <c r="H90" i="9" s="1"/>
  <c r="J63" i="9"/>
  <c r="J64" i="9" s="1"/>
  <c r="H39" i="9"/>
  <c r="H40" i="9" s="1"/>
  <c r="J16" i="13"/>
  <c r="J17" i="13" s="1"/>
  <c r="D89" i="9"/>
  <c r="D90" i="9" s="1"/>
  <c r="D94" i="9" s="1"/>
  <c r="H63" i="9"/>
  <c r="D39" i="9"/>
  <c r="D40" i="9" s="1"/>
  <c r="D19" i="9"/>
  <c r="D20" i="9" s="1"/>
  <c r="F16" i="13"/>
  <c r="F17" i="13" s="1"/>
  <c r="F21" i="13" s="1"/>
  <c r="J89" i="9"/>
  <c r="J90" i="9" s="1"/>
  <c r="J39" i="9"/>
  <c r="J40" i="9" s="1"/>
  <c r="D166" i="9"/>
  <c r="D167" i="9" s="1"/>
  <c r="H16" i="13"/>
  <c r="H17" i="13" s="1"/>
  <c r="C16" i="13"/>
  <c r="C17" i="13" s="1"/>
  <c r="C21" i="13" s="1"/>
  <c r="F166" i="9"/>
  <c r="F167" i="9" s="1"/>
  <c r="D63" i="9"/>
  <c r="D64" i="9" s="1"/>
  <c r="D68" i="9" s="1"/>
  <c r="C26" i="12"/>
  <c r="H64" i="9"/>
  <c r="G40" i="9"/>
  <c r="C40" i="9"/>
  <c r="D44" i="9" l="1"/>
  <c r="J44" i="9"/>
  <c r="J42" i="9"/>
  <c r="H42" i="9"/>
  <c r="H44" i="9"/>
  <c r="J21" i="13"/>
  <c r="J19" i="13"/>
  <c r="H21" i="13"/>
  <c r="H19" i="13"/>
  <c r="J92" i="9"/>
  <c r="J94" i="9"/>
  <c r="J68" i="9"/>
  <c r="J66" i="9"/>
  <c r="H68" i="9"/>
  <c r="H66" i="9"/>
  <c r="F19" i="13"/>
  <c r="H92" i="9"/>
  <c r="H9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tc={C85971E7-A915-45BA-B26C-3EFB2F2FC649}</author>
    <author>tc={3C3B27A9-FA48-4E14-88DE-DF73764D4CFC}</author>
    <author>tc={C37D1DB6-8A58-4A5F-81BB-337191017B13}</author>
  </authors>
  <commentList>
    <comment ref="B7" authorId="0" shapeId="0" xr:uid="{C85971E7-A915-45BA-B26C-3EFB2F2FC649}">
      <text>
        <t xml:space="preserve">[Kommentartråd]
Din versjon av Excel lar deg lese denne kommentartråden. Eventuelle endringer i den vil imidlertid bli fjernet hvis filen åpnes i en nyere versjon av Excel. Finn ut mer: https://go.microsoft.com/fwlink/?linkid=870924
Kommentar:
    Gjelder NO4, totalt forbruk 2022: 19,8TWh, 8 øre fram til 2035, deretter 5 øre
</t>
      </text>
    </comment>
    <comment ref="B27" authorId="1" shapeId="0" xr:uid="{3C3B27A9-FA48-4E14-88DE-DF73764D4CFC}">
      <text>
        <t xml:space="preserve">[Kommentartråd]
Din versjon av Excel lar deg lese denne kommentartråden. Eventuelle endringer i den vil imidlertid bli fjernet hvis filen åpnes i en nyere versjon av Excel. Finn ut mer: https://go.microsoft.com/fwlink/?linkid=870924
Kommentar:
    Gjelder NO4, totalt forbruk 2022: 19,8TWh, 8 øre fram til 2035, deretter 5 øre
</t>
      </text>
    </comment>
    <comment ref="B48" authorId="2" shapeId="0" xr:uid="{C37D1DB6-8A58-4A5F-81BB-337191017B13}">
      <text>
        <t xml:space="preserve">[Kommentartråd]
Din versjon av Excel lar deg lese denne kommentartråden. Eventuelle endringer i den vil imidlertid bli fjernet hvis filen åpnes i en nyere versjon av Excel. Finn ut mer: https://go.microsoft.com/fwlink/?linkid=870924
Kommentar:
    Gjelder NO4, totalt forbruk 2022: 19,8TWh, 8 øre fram til 2035, deretter 5 øre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tc={0802D44C-3D28-4A5C-B056-8B18C2F5F51F}</author>
  </authors>
  <commentList>
    <comment ref="B25" authorId="0" shapeId="0" xr:uid="{0802D44C-3D28-4A5C-B056-8B18C2F5F51F}">
      <text>
        <t>[Kommentartråd]
Din versjon av Excel lar deg lese denne kommentartråden. Eventuelle endringer i den vil imidlertid bli fjernet hvis filen åpnes i en nyere versjon av Excel. Finn ut mer: https://go.microsoft.com/fwlink/?linkid=870924
Kommentar:
    Hvilken pris skal brukes?
Svar:
    Høy bane. Kan velge alle tre alternativene. Klimamålene til FN. S 22 i dok</t>
      </text>
    </comment>
  </commentList>
</comments>
</file>

<file path=xl/sharedStrings.xml><?xml version="1.0" encoding="utf-8"?>
<sst xmlns="http://schemas.openxmlformats.org/spreadsheetml/2006/main" count="534" uniqueCount="191">
  <si>
    <t>MENY</t>
  </si>
  <si>
    <t>Netto nåverdier oppsummering</t>
  </si>
  <si>
    <t>NNV- Elektrifisering av Melkøya</t>
  </si>
  <si>
    <t>Regnearket oppsummerer netto nåverdi for</t>
  </si>
  <si>
    <t>Regnearket viser en detaljert fremstilling av</t>
  </si>
  <si>
    <t>begge alternativene. I tillegg oppsummeres effekter</t>
  </si>
  <si>
    <t>beregning av netto nåverdi for elektrifiserings-</t>
  </si>
  <si>
    <t>av endring i gasspris, strømpris og karbonprisbaner.</t>
  </si>
  <si>
    <t>alternativet.</t>
  </si>
  <si>
    <t>NNV- nullalternativ</t>
  </si>
  <si>
    <t>Følsomhetsanalyse</t>
  </si>
  <si>
    <t xml:space="preserve">Regnearket viser en detaljert fremstilling av </t>
  </si>
  <si>
    <t>beregning av netto nåverdi for null-alternativet</t>
  </si>
  <si>
    <t>beregningen av utslippskostnader ved lav og høy</t>
  </si>
  <si>
    <t>karbonprisbane.</t>
  </si>
  <si>
    <t>Endring karbonpris</t>
  </si>
  <si>
    <t>Karbonprisbaner</t>
  </si>
  <si>
    <t>Regnearket viser oversikt over karbonprisbaner</t>
  </si>
  <si>
    <t>beregningen av utslippskostnader ved prisendring</t>
  </si>
  <si>
    <t>som er brukt i framstillingen.</t>
  </si>
  <si>
    <t>i petroleum karbonprisbane.</t>
  </si>
  <si>
    <t>Noter</t>
  </si>
  <si>
    <t>Regnearket gir forklaring knyttet til de ulike</t>
  </si>
  <si>
    <t>virkningene som er tatt med.</t>
  </si>
  <si>
    <t>Netto Nåverdi</t>
  </si>
  <si>
    <t>1. Effekt av strømprisendring</t>
  </si>
  <si>
    <t>Null-alternativ</t>
  </si>
  <si>
    <t>Elektrifisering av Melkøya</t>
  </si>
  <si>
    <t>2. Effekt av endring i gasspris</t>
  </si>
  <si>
    <t>Petroleum karbonprisbane</t>
  </si>
  <si>
    <t>3. Effekt av endring i karbonpris</t>
  </si>
  <si>
    <t>Nåverdi</t>
  </si>
  <si>
    <t>Tilbake til Meny</t>
  </si>
  <si>
    <t>Analyseperiode i år</t>
  </si>
  <si>
    <t>Kostnader utslipp karbonprisbane petroleum</t>
  </si>
  <si>
    <t>Besparelse utslipp karbonprisbane petroleum</t>
  </si>
  <si>
    <t>Inntekter gass-salg</t>
  </si>
  <si>
    <t>Kostnad økt strømpris</t>
  </si>
  <si>
    <t>Kraftkostnad inkl nettleie for anlegget</t>
  </si>
  <si>
    <t>Melkøya landkompresjon</t>
  </si>
  <si>
    <t>Melkøya elektrifisering</t>
  </si>
  <si>
    <t>Kraftlinje Skaidi - Hammerfest LNG</t>
  </si>
  <si>
    <t>Anleggsbidrag til Statnett fra Equinor</t>
  </si>
  <si>
    <t>Restverdi 2044</t>
  </si>
  <si>
    <t>Netto nåverdi</t>
  </si>
  <si>
    <t>1.</t>
  </si>
  <si>
    <t>Effekt av strømprisendring</t>
  </si>
  <si>
    <t>Økte strømskostnader - endring i netto nåverdi</t>
  </si>
  <si>
    <t>Opprinnelige verdier</t>
  </si>
  <si>
    <t>Endring i NNV</t>
  </si>
  <si>
    <t>Differanse mellom elektrifisering og null-alternativ</t>
  </si>
  <si>
    <t xml:space="preserve">I det første tilfellet vil nåverdien av strømkostnadene øke  </t>
  </si>
  <si>
    <t>2.</t>
  </si>
  <si>
    <t>Effekt av endring i gasspris</t>
  </si>
  <si>
    <t>Økte gasspriser - endring i netto nåverdi</t>
  </si>
  <si>
    <t>Tilbake</t>
  </si>
  <si>
    <t>3.</t>
  </si>
  <si>
    <t>Effekt av endring i karbonprisbane</t>
  </si>
  <si>
    <t>Effekt av ulike karbonprisbaner - endring i netto nåverdi</t>
  </si>
  <si>
    <t>Lav karbonprisbane</t>
  </si>
  <si>
    <t>Høy karbonprisbane</t>
  </si>
  <si>
    <t>Kostnad utslipp</t>
  </si>
  <si>
    <t>Besparelse utslipp</t>
  </si>
  <si>
    <t>Effekt av endring i karbonpris petroleum</t>
  </si>
  <si>
    <t>Karbonpris økning</t>
  </si>
  <si>
    <t>Restverdi</t>
  </si>
  <si>
    <t>Felles forutsetninger for alle modeller</t>
  </si>
  <si>
    <t>Kalkulasjonsrente</t>
  </si>
  <si>
    <t xml:space="preserve">. </t>
  </si>
  <si>
    <t>Reduksjon av Utslipp av klimagasser</t>
  </si>
  <si>
    <r>
      <t>CO</t>
    </r>
    <r>
      <rPr>
        <vertAlign val="subscript"/>
        <sz val="10"/>
        <color theme="1"/>
        <rFont val="Calibri"/>
        <family val="2"/>
        <scheme val="minor"/>
      </rPr>
      <t>2</t>
    </r>
  </si>
  <si>
    <r>
      <t>NO</t>
    </r>
    <r>
      <rPr>
        <vertAlign val="subscript"/>
        <sz val="10"/>
        <color theme="1"/>
        <rFont val="Calibri"/>
        <family val="2"/>
        <scheme val="minor"/>
      </rPr>
      <t>x</t>
    </r>
  </si>
  <si>
    <t>SUM</t>
  </si>
  <si>
    <t>Utslipp av klimagasser</t>
  </si>
  <si>
    <t>Kontantstrøm karbonprisbane petroleum</t>
  </si>
  <si>
    <t>NV Restverdi</t>
  </si>
  <si>
    <t>År</t>
  </si>
  <si>
    <t>År 0</t>
  </si>
  <si>
    <t>Kostnader karbonprisbane petroleum</t>
  </si>
  <si>
    <t>NNV karbonprisbane petroleum</t>
  </si>
  <si>
    <t>Elektrifisering</t>
  </si>
  <si>
    <t>Kontantstrøm Lav bane</t>
  </si>
  <si>
    <t>Rente</t>
  </si>
  <si>
    <t>Besparelse utslipp lav bane</t>
  </si>
  <si>
    <t>Kontantstrøm lav bane</t>
  </si>
  <si>
    <t xml:space="preserve">NNV lav bane </t>
  </si>
  <si>
    <t>CO_2</t>
  </si>
  <si>
    <t>NO_x</t>
  </si>
  <si>
    <t>Pris</t>
  </si>
  <si>
    <t>Kontantstrøm høy bane</t>
  </si>
  <si>
    <t>Besparelse utslipp høy bane</t>
  </si>
  <si>
    <t>NNV høy</t>
  </si>
  <si>
    <t>Kontantstrøm Petroleum</t>
  </si>
  <si>
    <t>Besparelse utslipp karbonbane Petroleum</t>
  </si>
  <si>
    <t>NNV Petroleum</t>
  </si>
  <si>
    <t>Tiltak</t>
  </si>
  <si>
    <t>Nullalternativ: Melkøya fortsetter med gasskraftverk</t>
  </si>
  <si>
    <t>Legge ned gasskraftverket på Melkøya</t>
  </si>
  <si>
    <t>Kraftlinje Skaidi og Hammerfest</t>
  </si>
  <si>
    <t>Kraftlinje Skaidi og Lebesby</t>
  </si>
  <si>
    <t>Dekke Snøhvitfeltets kraftbehov med kraft fra nettet i Finnmark</t>
  </si>
  <si>
    <t xml:space="preserve">Vindkraftutbygging(Davvi) </t>
  </si>
  <si>
    <t>Nyttevirkninger</t>
  </si>
  <si>
    <t>- Lavere nytte på grunn av forkortet levetid for Snøhvit</t>
  </si>
  <si>
    <t>- Økt nytte av forlenget levetid for Snøhvit</t>
  </si>
  <si>
    <t>Strømpris- konsekvenser</t>
  </si>
  <si>
    <t>økende priser over tid</t>
  </si>
  <si>
    <t>- Klimamål oppnås ikke</t>
  </si>
  <si>
    <t>x</t>
  </si>
  <si>
    <t>Gasspris</t>
  </si>
  <si>
    <t>Gass som brukes i dag i gasskraftverket kan selges.(siste prod pris)</t>
  </si>
  <si>
    <t>Ekstra gass x futurepris</t>
  </si>
  <si>
    <t>5,8 MRD kubikkmeter</t>
  </si>
  <si>
    <t>Etter 2043</t>
  </si>
  <si>
    <t>6,5 MRD produseres per år</t>
  </si>
  <si>
    <t>ett ekstra år</t>
  </si>
  <si>
    <t>NV Skatter og avgifter</t>
  </si>
  <si>
    <t>Uten prisjustering</t>
  </si>
  <si>
    <t>Kraftpris ( fra Davvi: 0,40)</t>
  </si>
  <si>
    <t>Anleggsbidrag fra Equinor</t>
  </si>
  <si>
    <t>Kostnadsvirkninger</t>
  </si>
  <si>
    <t>Landkompresjon</t>
  </si>
  <si>
    <t>Overgang drift fra land</t>
  </si>
  <si>
    <t>NV Utslippskostnad (CO_2 og NO_x)</t>
  </si>
  <si>
    <t>(basert på 1700 pr tonn, 850580 tonn</t>
  </si>
  <si>
    <t>NV over 20 år, 4 %)</t>
  </si>
  <si>
    <t>NV Utbyggingskostnader</t>
  </si>
  <si>
    <t>Over 20 år</t>
  </si>
  <si>
    <t xml:space="preserve">Investeringskostnad:1047500000 </t>
  </si>
  <si>
    <t>Snøhvit Future</t>
  </si>
  <si>
    <t>1680 årsverk</t>
  </si>
  <si>
    <t>gasspris</t>
  </si>
  <si>
    <t>Null-alternativet</t>
  </si>
  <si>
    <t>Kontantstrøm lav karbonprisbane</t>
  </si>
  <si>
    <t xml:space="preserve">Kostnader lav karbonprisbane </t>
  </si>
  <si>
    <t>Besparelse utslipp lav karbonprisbane</t>
  </si>
  <si>
    <t>Kraftkostnad med nettleie</t>
  </si>
  <si>
    <t>NNV lav karbonprisbane</t>
  </si>
  <si>
    <t>Kontantstrøm høy karbonprisbane</t>
  </si>
  <si>
    <t>Kostnader høy karbonprisbane</t>
  </si>
  <si>
    <t>Besparelse utslipp høy karbonprisbane</t>
  </si>
  <si>
    <t>NNV høy karbonprisbane</t>
  </si>
  <si>
    <t>Nullalternativet</t>
  </si>
  <si>
    <t xml:space="preserve">Kostnader høy karbonprisbane </t>
  </si>
  <si>
    <t>Endring i karbonpris</t>
  </si>
  <si>
    <t>Reduksjon av utslipp av klimagasser</t>
  </si>
  <si>
    <t>Utslipp gasskraftverk</t>
  </si>
  <si>
    <t>Petroleum</t>
  </si>
  <si>
    <t>Petroleum + 5 %</t>
  </si>
  <si>
    <t>Petroleum + 7,5 %</t>
  </si>
  <si>
    <t>Petroleum + 10 %</t>
  </si>
  <si>
    <t>NNV</t>
  </si>
  <si>
    <t>Kostnad utslipp petroleum</t>
  </si>
  <si>
    <t>Kostnadutslipp elektrifisering petroleum</t>
  </si>
  <si>
    <t>Besparelse elektrifisering petroleum</t>
  </si>
  <si>
    <t>Kostnad utslipp elektrifisering petroleum + 5 %</t>
  </si>
  <si>
    <t>Besparelse petroleum + 5 %</t>
  </si>
  <si>
    <t>Kostnad utslipp elektrisk petroleum + 7,5 %</t>
  </si>
  <si>
    <t>Besparelse petroleum + 7,5 %</t>
  </si>
  <si>
    <t>Kostnad utslipp elektrifisering petroleum + 10 %</t>
  </si>
  <si>
    <t>Besparelse petroleum + 10 %</t>
  </si>
  <si>
    <t>NNV Strømpris 5 %</t>
  </si>
  <si>
    <t>NNV Strømpris 10 %</t>
  </si>
  <si>
    <t>Til bruk i følsomhetsanalyser</t>
  </si>
  <si>
    <t xml:space="preserve">Lav bane </t>
  </si>
  <si>
    <t>Høy bane (IPCC 1,5°-bane - median)</t>
  </si>
  <si>
    <t>Lav og høy pris som skal brukes i følsomhetsanalyser i samfunnsøkonomiske analyser for utslipp i årene 2023–2100</t>
  </si>
  <si>
    <t>Prisbaner publisert av Finansdepartementet 22. desember 2022. Alle tall i norske kroner, prisnivå 2023.</t>
  </si>
  <si>
    <t>Nærmere om reglene for karbonpris i samfunnsøkonomiske analyser</t>
  </si>
  <si>
    <t>Forventningsverdier for investeringskostnadene</t>
  </si>
  <si>
    <t>70/30</t>
  </si>
  <si>
    <t>50/50</t>
  </si>
  <si>
    <t>Investeringskostnader</t>
  </si>
  <si>
    <t>Investeringskostnad</t>
  </si>
  <si>
    <t>Forventet lav</t>
  </si>
  <si>
    <t>Forventet høy</t>
  </si>
  <si>
    <t>5 % dyrere</t>
  </si>
  <si>
    <t>10 % dyrere</t>
  </si>
  <si>
    <t>Notehenvisnger fra regnearkene</t>
  </si>
  <si>
    <t>Posten omfatter besparelse som en følge av utslippskuttet. Her er det regnet utfra karbonprisalternativet petroleum.</t>
  </si>
  <si>
    <t>Posten omfatter inntekter av gassalg. Det er beregnet levetid på Snøhvitfeltet fram til 2043 med en årlig produksjon på 6,5 MRD kubikkmeter gass. Overgang til elektrisitet gir 5,8 MRD kubikkmeter gass som selges i 2044. Det er foretatt omregning til MMBTU som er enheten brukt i salg. Salgsprisen er satt til $3,4 per MMBTU. Dollarkursen er gjennomsnittlig dollarkurs i 2022 lik 9,60</t>
  </si>
  <si>
    <t>Posten omfatter økte strømutgifter som en følge av elektrifisering.  Konsulentselskapet AFRY har beregnet som gjennomsnittlig strømpris vil øke med 8 øre fram til 2035, deretter 5 øre. Posten gjelder strømområde NO4 med et totalt forbruk i 2022 på 19,8TWh.</t>
  </si>
  <si>
    <t>Forventet forbruk er satt til 2,6 TWh, kraftpris 80 øre, nettleie 10 % av strømpris</t>
  </si>
  <si>
    <t>Kilde forbruk: https://www.npd.no/aktuelt/publikasjoner/rapporter/rapportarkiv/kraft-fra-land-til-norsk-sokkel/6---kraftsituasjonen-og-kraftnettet-pa-land/</t>
  </si>
  <si>
    <t>Kilde kraftpris: https://publikasjoner.nve.no/rapport/2023/rapport2023_25.pdf</t>
  </si>
  <si>
    <t>Kilde nettleie: Equinor foredrag</t>
  </si>
  <si>
    <t>Posten omfatter kostnader knyttet til fortsatt utslipp av klimagasser. Her er det regnet utfra karbonprisalternativet petroleum.</t>
  </si>
  <si>
    <t>Posten omfatter inntekter av gassalg. Det er beregnet levetid på Snøhvitfeltet fram til 2043 med en årlig produksjon på 6,5 MRD kubikkmeter gass. Det er foretatt omregning til MMBTU som er enheten brukt i salg. Salgsprisen er satt til $3,4 per MMBTU. Dollarkursen er gjennomsnittlig dollarkurs i 2022 lik 9,60</t>
  </si>
  <si>
    <t>Landkompresjon alene er kostnadsberegnet  til 8,5 MRD NOK ifølge  Myklebust fra Equinor i foredrag.</t>
  </si>
  <si>
    <t xml:space="preserve">I oppdatert investeringsplan for 2023 er kostnadsspennet 2,7 -3,5 MRD NOK i 2023-kroner.  Forventet verdi med lik sannsynlighet for utfall. </t>
  </si>
  <si>
    <t>Tilbake til: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</si>
</sst>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kr&quot;\ #,##0.00;[Red]\-&quot;kr&quot;\ #,##0.00"/>
    <numFmt numFmtId="43" formatCode="_-* #,##0.00_-;\-* #,##0.00_-;_-* &quot;-&quot;??_-;_-@_-"/>
    <numFmt numFmtId="164" formatCode="_-* #,##0.0_-;\-* #,##0.0_-;_-* &quot;-&quot;??_-;_-@_-"/>
    <numFmt numFmtId="165" formatCode="_-* #,##0_-;\-* #,##0_-;_-* &quot;-&quot;??_-;_-@_-"/>
    <numFmt numFmtId="166" formatCode="yyyy"/>
    <numFmt numFmtId="167" formatCode="0.0\ %"/>
    <numFmt numFmtId="168" formatCode="0.0000\ %"/>
  </numFmts>
  <fonts count="14"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2"/>
      <color theme="1"/>
      <name val="Calibri"/>
      <family val="2"/>
      <scheme val="minor"/>
    </font>
    <font>
      <sz val="11"/>
      <name val="Calibri"/>
      <family val="2"/>
      <scheme val="minor"/>
    </font>
    <font>
      <b/>
      <sz val="16"/>
      <color theme="1"/>
      <name val="Calibri"/>
      <family val="2"/>
      <scheme val="minor"/>
    </font>
    <font>
      <b/>
      <sz val="10"/>
      <color theme="1"/>
      <name val="Calibri"/>
      <family val="2"/>
      <scheme val="minor"/>
    </font>
    <font>
      <b/>
      <sz val="14"/>
      <color theme="1"/>
      <name val="Calibri"/>
      <family val="2"/>
      <scheme val="minor"/>
    </font>
    <font>
      <sz val="10"/>
      <color theme="1"/>
      <name val="Calibri"/>
      <family val="2"/>
      <scheme val="minor"/>
    </font>
    <font>
      <vertAlign val="subscript"/>
      <sz val="10"/>
      <color theme="1"/>
      <name val="Calibri"/>
      <family val="2"/>
      <scheme val="minor"/>
    </font>
    <font>
      <u/>
      <sz val="11"/>
      <color theme="10"/>
      <name val="Calibri"/>
      <family val="2"/>
      <scheme val="minor"/>
    </font>
    <font>
      <sz val="11"/>
      <color rgb="FF000000"/>
      <name val="Calibri"/>
      <family val="2"/>
    </font>
    <font>
      <u/>
      <sz val="10"/>
      <color theme="10"/>
      <name val="Calibri"/>
      <family val="2"/>
      <scheme val="minor"/>
    </font>
  </fonts>
  <fills count="19">
    <fill>
      <patternFill patternType="none"/>
    </fill>
    <fill>
      <patternFill patternType="gray125"/>
    </fill>
    <fill>
      <patternFill patternType="solid">
        <fgColor theme="7"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2"/>
        <bgColor indexed="64"/>
      </patternFill>
    </fill>
    <fill>
      <patternFill patternType="solid">
        <fgColor theme="7" tint="0.59999389629810485"/>
        <bgColor indexed="64"/>
      </patternFill>
    </fill>
    <fill>
      <patternFill patternType="solid">
        <fgColor theme="9"/>
        <bgColor indexed="64"/>
      </patternFill>
    </fill>
    <fill>
      <patternFill patternType="solid">
        <fgColor theme="4" tint="0.79998168889431442"/>
        <bgColor indexed="64"/>
      </patternFill>
    </fill>
    <fill>
      <patternFill patternType="solid">
        <fgColor theme="8" tint="0.59999389629810485"/>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
    <xf numFmtId="0" fontId="0" fillId="0" borderId="0"/>
    <xf numFmtId="43" fontId="3" fillId="0" borderId="0" applyFont="0" applyFill="0" applyBorder="0" applyAlignment="0" applyProtection="0"/>
    <xf numFmtId="0" fontId="11" fillId="0" borderId="0" applyNumberFormat="0" applyFill="0" applyBorder="0" applyAlignment="0" applyProtection="0"/>
    <xf numFmtId="9" fontId="3" fillId="0" borderId="0" applyFont="0" applyFill="0" applyBorder="0" applyAlignment="0" applyProtection="0"/>
  </cellStyleXfs>
  <cellXfs count="209">
    <xf numFmtId="0" fontId="0" fillId="0" borderId="0" xfId="0"/>
    <xf numFmtId="0" fontId="1" fillId="0" borderId="0" xfId="0" applyFont="1"/>
    <xf numFmtId="164" fontId="0" fillId="0" borderId="0" xfId="1" applyNumberFormat="1" applyFont="1"/>
    <xf numFmtId="0" fontId="0" fillId="0" borderId="1" xfId="0" applyBorder="1"/>
    <xf numFmtId="0" fontId="0" fillId="0" borderId="1" xfId="0" quotePrefix="1" applyBorder="1" applyAlignment="1">
      <alignment wrapText="1"/>
    </xf>
    <xf numFmtId="0" fontId="0" fillId="0" borderId="1" xfId="0" quotePrefix="1" applyBorder="1"/>
    <xf numFmtId="0" fontId="0" fillId="2" borderId="1" xfId="0" applyFill="1" applyBorder="1"/>
    <xf numFmtId="0" fontId="0" fillId="2" borderId="1" xfId="0" applyFill="1" applyBorder="1" applyAlignment="1">
      <alignment horizontal="center"/>
    </xf>
    <xf numFmtId="165" fontId="0" fillId="2" borderId="1" xfId="1" applyNumberFormat="1" applyFont="1" applyFill="1" applyBorder="1"/>
    <xf numFmtId="9" fontId="0" fillId="2" borderId="1" xfId="0" applyNumberFormat="1" applyFill="1" applyBorder="1"/>
    <xf numFmtId="165" fontId="0" fillId="3" borderId="1" xfId="1" applyNumberFormat="1" applyFont="1" applyFill="1" applyBorder="1"/>
    <xf numFmtId="165" fontId="0" fillId="4" borderId="1" xfId="1" applyNumberFormat="1" applyFont="1" applyFill="1" applyBorder="1"/>
    <xf numFmtId="165" fontId="0" fillId="5" borderId="1" xfId="1" applyNumberFormat="1" applyFont="1" applyFill="1" applyBorder="1"/>
    <xf numFmtId="165" fontId="0" fillId="6" borderId="1" xfId="1" applyNumberFormat="1" applyFont="1" applyFill="1" applyBorder="1"/>
    <xf numFmtId="165" fontId="0" fillId="7" borderId="1" xfId="1" applyNumberFormat="1" applyFont="1" applyFill="1" applyBorder="1"/>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1" fillId="5" borderId="1" xfId="0" applyFont="1" applyFill="1" applyBorder="1" applyAlignment="1">
      <alignment horizontal="center"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0" borderId="1" xfId="0" applyFont="1" applyBorder="1"/>
    <xf numFmtId="165" fontId="0" fillId="3" borderId="1" xfId="1" applyNumberFormat="1" applyFont="1" applyFill="1" applyBorder="1" applyAlignment="1">
      <alignment wrapText="1"/>
    </xf>
    <xf numFmtId="0" fontId="4" fillId="0" borderId="0" xfId="0" applyFont="1"/>
    <xf numFmtId="3" fontId="0" fillId="0" borderId="0" xfId="0" applyNumberFormat="1"/>
    <xf numFmtId="0" fontId="0" fillId="0" borderId="0" xfId="0" applyAlignment="1">
      <alignment horizontal="center"/>
    </xf>
    <xf numFmtId="9" fontId="0" fillId="0" borderId="0" xfId="0" applyNumberFormat="1"/>
    <xf numFmtId="0" fontId="4" fillId="8" borderId="0" xfId="0" applyFont="1" applyFill="1"/>
    <xf numFmtId="0" fontId="0" fillId="8" borderId="0" xfId="0" applyFill="1"/>
    <xf numFmtId="3" fontId="0" fillId="8" borderId="0" xfId="0" applyNumberFormat="1" applyFill="1"/>
    <xf numFmtId="0" fontId="6" fillId="0" borderId="0" xfId="0" applyFont="1"/>
    <xf numFmtId="0" fontId="1" fillId="8" borderId="0" xfId="0" applyFont="1" applyFill="1"/>
    <xf numFmtId="3" fontId="1" fillId="8" borderId="0" xfId="0" applyNumberFormat="1" applyFont="1" applyFill="1"/>
    <xf numFmtId="0" fontId="8" fillId="0" borderId="0" xfId="0" applyFont="1"/>
    <xf numFmtId="0" fontId="9" fillId="0" borderId="0" xfId="0" applyFont="1"/>
    <xf numFmtId="9" fontId="9" fillId="0" borderId="0" xfId="0" applyNumberFormat="1" applyFont="1"/>
    <xf numFmtId="0" fontId="9" fillId="0" borderId="0" xfId="0" applyFont="1" applyAlignment="1">
      <alignment horizontal="right"/>
    </xf>
    <xf numFmtId="3" fontId="9" fillId="0" borderId="0" xfId="0" applyNumberFormat="1" applyFont="1"/>
    <xf numFmtId="0" fontId="9" fillId="10" borderId="1" xfId="0" applyFont="1" applyFill="1" applyBorder="1" applyAlignment="1">
      <alignment horizontal="right"/>
    </xf>
    <xf numFmtId="3" fontId="9" fillId="10" borderId="1" xfId="0" applyNumberFormat="1" applyFont="1" applyFill="1" applyBorder="1"/>
    <xf numFmtId="0" fontId="7" fillId="10" borderId="1" xfId="0" applyFont="1" applyFill="1" applyBorder="1" applyAlignment="1">
      <alignment horizontal="right"/>
    </xf>
    <xf numFmtId="3" fontId="7" fillId="10" borderId="1" xfId="0" applyNumberFormat="1" applyFont="1" applyFill="1" applyBorder="1"/>
    <xf numFmtId="0" fontId="9" fillId="10" borderId="1" xfId="0" applyFont="1" applyFill="1" applyBorder="1"/>
    <xf numFmtId="9" fontId="9" fillId="10" borderId="1" xfId="0" applyNumberFormat="1" applyFont="1" applyFill="1" applyBorder="1"/>
    <xf numFmtId="0" fontId="0" fillId="8" borderId="1" xfId="0" applyFill="1" applyBorder="1"/>
    <xf numFmtId="3" fontId="1" fillId="8" borderId="1" xfId="0" applyNumberFormat="1" applyFont="1" applyFill="1" applyBorder="1"/>
    <xf numFmtId="0" fontId="7" fillId="9" borderId="0" xfId="0" applyFont="1" applyFill="1"/>
    <xf numFmtId="0" fontId="9" fillId="9" borderId="0" xfId="0" applyFont="1" applyFill="1"/>
    <xf numFmtId="0" fontId="7" fillId="10" borderId="1" xfId="0" applyFont="1" applyFill="1" applyBorder="1"/>
    <xf numFmtId="0" fontId="7" fillId="10" borderId="1" xfId="0" applyFont="1" applyFill="1" applyBorder="1" applyAlignment="1">
      <alignment horizontal="center"/>
    </xf>
    <xf numFmtId="0" fontId="4" fillId="8" borderId="1" xfId="0" applyFont="1" applyFill="1" applyBorder="1"/>
    <xf numFmtId="0" fontId="1" fillId="9" borderId="0" xfId="0" applyFont="1" applyFill="1"/>
    <xf numFmtId="0" fontId="4" fillId="8" borderId="2" xfId="0" applyFont="1" applyFill="1" applyBorder="1"/>
    <xf numFmtId="0" fontId="1" fillId="0" borderId="0" xfId="0" applyFont="1" applyAlignment="1">
      <alignment horizontal="center"/>
    </xf>
    <xf numFmtId="0" fontId="0" fillId="0" borderId="1" xfId="0" applyBorder="1" applyAlignment="1">
      <alignment horizontal="left" vertical="top" wrapText="1"/>
    </xf>
    <xf numFmtId="1" fontId="0" fillId="0" borderId="1" xfId="0" applyNumberFormat="1" applyBorder="1"/>
    <xf numFmtId="1" fontId="0" fillId="9" borderId="1" xfId="0" applyNumberFormat="1" applyFill="1" applyBorder="1"/>
    <xf numFmtId="1" fontId="5" fillId="0" borderId="1" xfId="0" applyNumberFormat="1" applyFont="1" applyBorder="1"/>
    <xf numFmtId="1" fontId="5" fillId="9" borderId="1" xfId="0" applyNumberFormat="1" applyFont="1" applyFill="1" applyBorder="1"/>
    <xf numFmtId="0" fontId="1" fillId="10" borderId="1" xfId="0" applyFont="1" applyFill="1" applyBorder="1" applyAlignment="1">
      <alignment horizontal="center"/>
    </xf>
    <xf numFmtId="166" fontId="1" fillId="10" borderId="1" xfId="0" applyNumberFormat="1" applyFont="1" applyFill="1" applyBorder="1" applyAlignment="1">
      <alignment horizontal="center"/>
    </xf>
    <xf numFmtId="0" fontId="7" fillId="0" borderId="0" xfId="0" applyFont="1" applyAlignment="1">
      <alignment horizontal="center"/>
    </xf>
    <xf numFmtId="0" fontId="9" fillId="10" borderId="2" xfId="0" applyFont="1" applyFill="1" applyBorder="1"/>
    <xf numFmtId="0" fontId="0" fillId="10" borderId="1" xfId="0" applyFill="1" applyBorder="1" applyAlignment="1">
      <alignment horizontal="center"/>
    </xf>
    <xf numFmtId="0" fontId="0" fillId="10" borderId="1" xfId="0" applyFill="1" applyBorder="1"/>
    <xf numFmtId="3" fontId="0" fillId="0" borderId="1" xfId="0" applyNumberFormat="1" applyBorder="1"/>
    <xf numFmtId="0" fontId="4" fillId="9" borderId="0" xfId="0" applyFont="1" applyFill="1"/>
    <xf numFmtId="0" fontId="0" fillId="11" borderId="1" xfId="0" applyFill="1" applyBorder="1"/>
    <xf numFmtId="0" fontId="0" fillId="11" borderId="1" xfId="0" applyFill="1" applyBorder="1" applyAlignment="1">
      <alignment wrapText="1"/>
    </xf>
    <xf numFmtId="0" fontId="0" fillId="11" borderId="3" xfId="0" applyFill="1" applyBorder="1" applyAlignment="1">
      <alignment wrapText="1"/>
    </xf>
    <xf numFmtId="0" fontId="0" fillId="11" borderId="4" xfId="0" applyFill="1" applyBorder="1"/>
    <xf numFmtId="0" fontId="0" fillId="11" borderId="6" xfId="0" applyFill="1" applyBorder="1"/>
    <xf numFmtId="0" fontId="0" fillId="11" borderId="7" xfId="0" applyFill="1" applyBorder="1"/>
    <xf numFmtId="0" fontId="0" fillId="11" borderId="8" xfId="0" applyFill="1" applyBorder="1" applyAlignment="1">
      <alignment wrapText="1"/>
    </xf>
    <xf numFmtId="0" fontId="12" fillId="0" borderId="0" xfId="0" applyFont="1"/>
    <xf numFmtId="165" fontId="0" fillId="0" borderId="0" xfId="1" applyNumberFormat="1" applyFont="1"/>
    <xf numFmtId="165" fontId="9" fillId="0" borderId="0" xfId="1" applyNumberFormat="1" applyFont="1"/>
    <xf numFmtId="0" fontId="0" fillId="11" borderId="9" xfId="0" applyFill="1" applyBorder="1"/>
    <xf numFmtId="0" fontId="11" fillId="0" borderId="0" xfId="2"/>
    <xf numFmtId="3" fontId="0" fillId="9" borderId="0" xfId="0" applyNumberFormat="1" applyFill="1"/>
    <xf numFmtId="165" fontId="0" fillId="9" borderId="0" xfId="1" applyNumberFormat="1" applyFont="1" applyFill="1" applyBorder="1"/>
    <xf numFmtId="0" fontId="0" fillId="9" borderId="0" xfId="0" applyFill="1"/>
    <xf numFmtId="3" fontId="1" fillId="0" borderId="1" xfId="0" applyNumberFormat="1" applyFont="1" applyBorder="1"/>
    <xf numFmtId="0" fontId="0" fillId="9" borderId="1" xfId="0" applyFill="1" applyBorder="1" applyAlignment="1">
      <alignment horizontal="center"/>
    </xf>
    <xf numFmtId="0" fontId="0" fillId="10" borderId="0" xfId="0" applyFill="1"/>
    <xf numFmtId="0" fontId="11" fillId="10" borderId="0" xfId="2" applyFill="1"/>
    <xf numFmtId="0" fontId="0" fillId="11" borderId="6" xfId="0" applyFill="1" applyBorder="1" applyAlignment="1">
      <alignment wrapText="1"/>
    </xf>
    <xf numFmtId="0" fontId="0" fillId="11" borderId="2" xfId="0" applyFill="1" applyBorder="1"/>
    <xf numFmtId="0" fontId="13" fillId="10" borderId="0" xfId="2" applyFont="1" applyFill="1"/>
    <xf numFmtId="0" fontId="13" fillId="10" borderId="1" xfId="2" applyFont="1" applyFill="1" applyBorder="1"/>
    <xf numFmtId="8" fontId="0" fillId="0" borderId="0" xfId="0" applyNumberFormat="1"/>
    <xf numFmtId="8" fontId="9" fillId="0" borderId="0" xfId="0" applyNumberFormat="1" applyFont="1"/>
    <xf numFmtId="0" fontId="9" fillId="10" borderId="1" xfId="0" applyFont="1" applyFill="1" applyBorder="1" applyAlignment="1">
      <alignment horizontal="left"/>
    </xf>
    <xf numFmtId="0" fontId="9" fillId="10" borderId="0" xfId="0" applyFont="1" applyFill="1" applyAlignment="1">
      <alignment horizontal="left"/>
    </xf>
    <xf numFmtId="0" fontId="9" fillId="0" borderId="0" xfId="0" applyFont="1" applyAlignment="1">
      <alignment horizontal="left"/>
    </xf>
    <xf numFmtId="43" fontId="0" fillId="0" borderId="0" xfId="1" applyFont="1"/>
    <xf numFmtId="0" fontId="9" fillId="9" borderId="1" xfId="0" applyFont="1" applyFill="1" applyBorder="1" applyAlignment="1">
      <alignment horizontal="right"/>
    </xf>
    <xf numFmtId="3" fontId="9" fillId="9" borderId="0" xfId="0" applyNumberFormat="1" applyFont="1" applyFill="1"/>
    <xf numFmtId="0" fontId="8" fillId="12" borderId="1" xfId="0" applyFont="1" applyFill="1" applyBorder="1" applyAlignment="1">
      <alignment horizontal="left"/>
    </xf>
    <xf numFmtId="0" fontId="8" fillId="12" borderId="0" xfId="0" applyFont="1" applyFill="1"/>
    <xf numFmtId="0" fontId="1" fillId="8" borderId="1" xfId="0" applyFont="1" applyFill="1" applyBorder="1"/>
    <xf numFmtId="0" fontId="0" fillId="0" borderId="2" xfId="0" applyBorder="1"/>
    <xf numFmtId="3" fontId="0" fillId="0" borderId="2" xfId="0" applyNumberFormat="1" applyBorder="1"/>
    <xf numFmtId="0" fontId="9" fillId="13" borderId="1" xfId="0" applyFont="1" applyFill="1" applyBorder="1"/>
    <xf numFmtId="0" fontId="0" fillId="13" borderId="1" xfId="0" applyFill="1" applyBorder="1"/>
    <xf numFmtId="3" fontId="0" fillId="13" borderId="1" xfId="0" applyNumberFormat="1" applyFill="1" applyBorder="1"/>
    <xf numFmtId="0" fontId="9" fillId="9" borderId="1" xfId="0" applyFont="1" applyFill="1" applyBorder="1"/>
    <xf numFmtId="0" fontId="0" fillId="9" borderId="1" xfId="0" applyFill="1" applyBorder="1"/>
    <xf numFmtId="3" fontId="0" fillId="9" borderId="1" xfId="0" applyNumberFormat="1" applyFill="1" applyBorder="1"/>
    <xf numFmtId="3" fontId="1" fillId="9" borderId="0" xfId="0" applyNumberFormat="1" applyFont="1" applyFill="1"/>
    <xf numFmtId="0" fontId="0" fillId="9" borderId="0" xfId="0" applyFill="1" applyAlignment="1">
      <alignment horizontal="center"/>
    </xf>
    <xf numFmtId="0" fontId="0" fillId="0" borderId="1" xfId="0" applyBorder="1" applyAlignment="1">
      <alignment horizontal="center"/>
    </xf>
    <xf numFmtId="3" fontId="0" fillId="14" borderId="1" xfId="0" applyNumberFormat="1" applyFill="1" applyBorder="1"/>
    <xf numFmtId="0" fontId="0" fillId="14" borderId="1" xfId="0" applyFill="1" applyBorder="1"/>
    <xf numFmtId="0" fontId="0" fillId="14" borderId="0" xfId="0" applyFill="1"/>
    <xf numFmtId="0" fontId="0" fillId="10" borderId="2" xfId="0" applyFill="1" applyBorder="1" applyAlignment="1">
      <alignment horizontal="center"/>
    </xf>
    <xf numFmtId="0" fontId="1" fillId="15" borderId="12" xfId="0" applyFont="1" applyFill="1" applyBorder="1"/>
    <xf numFmtId="0" fontId="1" fillId="15" borderId="13" xfId="0" applyFont="1" applyFill="1" applyBorder="1"/>
    <xf numFmtId="0" fontId="0" fillId="15" borderId="12" xfId="0" applyFill="1" applyBorder="1"/>
    <xf numFmtId="9" fontId="0" fillId="0" borderId="0" xfId="3" applyFont="1"/>
    <xf numFmtId="10" fontId="0" fillId="0" borderId="0" xfId="3" applyNumberFormat="1" applyFont="1"/>
    <xf numFmtId="168" fontId="0" fillId="0" borderId="0" xfId="3" applyNumberFormat="1" applyFont="1"/>
    <xf numFmtId="0" fontId="11" fillId="5" borderId="14" xfId="2" applyFill="1" applyBorder="1" applyAlignment="1">
      <alignment horizontal="center"/>
    </xf>
    <xf numFmtId="0" fontId="11" fillId="9" borderId="0" xfId="2" applyFill="1" applyBorder="1" applyAlignment="1">
      <alignment horizontal="center"/>
    </xf>
    <xf numFmtId="0" fontId="1" fillId="10" borderId="3" xfId="0" applyFont="1" applyFill="1" applyBorder="1" applyAlignment="1">
      <alignment horizontal="center"/>
    </xf>
    <xf numFmtId="0" fontId="0" fillId="16" borderId="14" xfId="0" applyFill="1" applyBorder="1"/>
    <xf numFmtId="0" fontId="0" fillId="12" borderId="1" xfId="0" applyFill="1" applyBorder="1"/>
    <xf numFmtId="1" fontId="0" fillId="12" borderId="1" xfId="0" applyNumberFormat="1" applyFill="1" applyBorder="1"/>
    <xf numFmtId="3" fontId="7" fillId="10" borderId="1" xfId="0" applyNumberFormat="1" applyFont="1" applyFill="1" applyBorder="1" applyAlignment="1">
      <alignment horizontal="center"/>
    </xf>
    <xf numFmtId="0" fontId="0" fillId="12" borderId="0" xfId="0" applyFill="1"/>
    <xf numFmtId="1" fontId="0" fillId="12" borderId="0" xfId="0" applyNumberFormat="1" applyFill="1"/>
    <xf numFmtId="0" fontId="1" fillId="2" borderId="2" xfId="0" applyFont="1" applyFill="1" applyBorder="1" applyAlignment="1">
      <alignment horizontal="center"/>
    </xf>
    <xf numFmtId="3" fontId="9" fillId="9" borderId="8" xfId="0" applyNumberFormat="1" applyFont="1" applyFill="1" applyBorder="1"/>
    <xf numFmtId="3" fontId="9" fillId="17" borderId="1" xfId="0" applyNumberFormat="1" applyFont="1" applyFill="1" applyBorder="1"/>
    <xf numFmtId="0" fontId="0" fillId="17" borderId="1" xfId="0" applyFill="1" applyBorder="1"/>
    <xf numFmtId="3" fontId="9" fillId="6" borderId="1" xfId="0" applyNumberFormat="1" applyFont="1" applyFill="1" applyBorder="1"/>
    <xf numFmtId="0" fontId="0" fillId="6" borderId="1" xfId="0" applyFill="1" applyBorder="1"/>
    <xf numFmtId="3" fontId="9" fillId="18" borderId="1" xfId="0" applyNumberFormat="1" applyFont="1" applyFill="1" applyBorder="1"/>
    <xf numFmtId="0" fontId="0" fillId="18" borderId="1" xfId="0" applyFill="1" applyBorder="1"/>
    <xf numFmtId="0" fontId="0" fillId="5" borderId="21" xfId="0" applyFill="1" applyBorder="1"/>
    <xf numFmtId="0" fontId="0" fillId="5" borderId="22" xfId="0" applyFill="1" applyBorder="1"/>
    <xf numFmtId="0" fontId="0" fillId="5" borderId="16" xfId="0" applyFill="1" applyBorder="1"/>
    <xf numFmtId="0" fontId="8" fillId="10" borderId="12" xfId="0" applyFont="1" applyFill="1" applyBorder="1" applyAlignment="1">
      <alignment horizontal="center"/>
    </xf>
    <xf numFmtId="0" fontId="8" fillId="10" borderId="15" xfId="0" applyFont="1" applyFill="1" applyBorder="1" applyAlignment="1">
      <alignment horizontal="center"/>
    </xf>
    <xf numFmtId="0" fontId="8" fillId="10" borderId="13" xfId="0" applyFont="1" applyFill="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0" fillId="9" borderId="4" xfId="0" applyFill="1" applyBorder="1" applyAlignment="1">
      <alignment horizontal="center"/>
    </xf>
    <xf numFmtId="0" fontId="0" fillId="9" borderId="5" xfId="0" applyFill="1" applyBorder="1" applyAlignment="1">
      <alignment horizontal="center"/>
    </xf>
    <xf numFmtId="3" fontId="0" fillId="13" borderId="4" xfId="0" applyNumberFormat="1" applyFill="1" applyBorder="1" applyAlignment="1">
      <alignment horizontal="center"/>
    </xf>
    <xf numFmtId="3" fontId="0" fillId="13" borderId="5" xfId="0" applyNumberFormat="1" applyFill="1" applyBorder="1" applyAlignment="1">
      <alignment horizontal="center"/>
    </xf>
    <xf numFmtId="3" fontId="0" fillId="9" borderId="4" xfId="0" applyNumberFormat="1" applyFill="1" applyBorder="1" applyAlignment="1">
      <alignment horizontal="center"/>
    </xf>
    <xf numFmtId="3" fontId="0" fillId="9" borderId="5" xfId="0" applyNumberFormat="1" applyFill="1"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0" fontId="1" fillId="9" borderId="4" xfId="0" applyFont="1" applyFill="1" applyBorder="1" applyAlignment="1">
      <alignment horizontal="center"/>
    </xf>
    <xf numFmtId="0" fontId="1" fillId="9" borderId="5" xfId="0" applyFont="1" applyFill="1" applyBorder="1" applyAlignment="1">
      <alignment horizontal="center"/>
    </xf>
    <xf numFmtId="3" fontId="1" fillId="9" borderId="4" xfId="0" applyNumberFormat="1" applyFont="1" applyFill="1" applyBorder="1" applyAlignment="1">
      <alignment horizontal="center"/>
    </xf>
    <xf numFmtId="3" fontId="1" fillId="9" borderId="5" xfId="0" applyNumberFormat="1" applyFont="1" applyFill="1" applyBorder="1" applyAlignment="1">
      <alignment horizontal="center"/>
    </xf>
    <xf numFmtId="0" fontId="0" fillId="10" borderId="4" xfId="0" applyFill="1" applyBorder="1" applyAlignment="1">
      <alignment horizontal="center"/>
    </xf>
    <xf numFmtId="0" fontId="0" fillId="10" borderId="5" xfId="0" applyFill="1" applyBorder="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10" xfId="0" applyFont="1" applyBorder="1" applyAlignment="1">
      <alignment horizontal="center"/>
    </xf>
    <xf numFmtId="0" fontId="0" fillId="10" borderId="1" xfId="0" applyFill="1" applyBorder="1" applyAlignment="1">
      <alignment horizontal="center"/>
    </xf>
    <xf numFmtId="0" fontId="11" fillId="0" borderId="1" xfId="2" applyBorder="1" applyAlignment="1">
      <alignment horizontal="left"/>
    </xf>
    <xf numFmtId="0" fontId="4" fillId="0" borderId="0" xfId="0" applyFont="1" applyAlignment="1">
      <alignment horizontal="center"/>
    </xf>
    <xf numFmtId="9" fontId="0" fillId="0" borderId="10" xfId="0" applyNumberFormat="1" applyBorder="1" applyAlignment="1">
      <alignment horizontal="center"/>
    </xf>
    <xf numFmtId="167" fontId="0" fillId="0" borderId="10" xfId="0" applyNumberFormat="1" applyBorder="1" applyAlignment="1">
      <alignment horizontal="center"/>
    </xf>
    <xf numFmtId="0" fontId="1" fillId="8" borderId="4" xfId="0" applyFont="1" applyFill="1" applyBorder="1" applyAlignment="1">
      <alignment horizontal="left"/>
    </xf>
    <xf numFmtId="0" fontId="1" fillId="8" borderId="5" xfId="0" applyFont="1" applyFill="1" applyBorder="1" applyAlignment="1">
      <alignment horizontal="left"/>
    </xf>
    <xf numFmtId="0" fontId="7" fillId="10" borderId="4" xfId="0" applyFont="1" applyFill="1" applyBorder="1" applyAlignment="1">
      <alignment horizontal="center"/>
    </xf>
    <xf numFmtId="0" fontId="7" fillId="10" borderId="5" xfId="0" applyFont="1" applyFill="1" applyBorder="1" applyAlignment="1">
      <alignment horizontal="center"/>
    </xf>
    <xf numFmtId="3" fontId="9" fillId="10" borderId="17" xfId="0" applyNumberFormat="1" applyFont="1" applyFill="1" applyBorder="1" applyAlignment="1">
      <alignment horizontal="center"/>
    </xf>
    <xf numFmtId="3" fontId="9" fillId="10" borderId="18" xfId="0" applyNumberFormat="1" applyFont="1" applyFill="1" applyBorder="1" applyAlignment="1">
      <alignment horizontal="center"/>
    </xf>
    <xf numFmtId="3" fontId="9" fillId="10" borderId="6" xfId="0" applyNumberFormat="1" applyFont="1" applyFill="1" applyBorder="1" applyAlignment="1">
      <alignment horizontal="center"/>
    </xf>
    <xf numFmtId="3" fontId="9" fillId="10" borderId="7" xfId="0" applyNumberFormat="1" applyFont="1" applyFill="1" applyBorder="1" applyAlignment="1">
      <alignment horizontal="center"/>
    </xf>
    <xf numFmtId="3" fontId="9" fillId="10" borderId="0" xfId="0" applyNumberFormat="1" applyFont="1" applyFill="1" applyAlignment="1">
      <alignment horizontal="center"/>
    </xf>
    <xf numFmtId="3" fontId="9" fillId="10" borderId="19" xfId="0" applyNumberFormat="1" applyFont="1" applyFill="1" applyBorder="1" applyAlignment="1">
      <alignment horizontal="center"/>
    </xf>
    <xf numFmtId="3" fontId="9" fillId="10" borderId="9" xfId="0" applyNumberFormat="1" applyFont="1" applyFill="1" applyBorder="1" applyAlignment="1">
      <alignment horizontal="center"/>
    </xf>
    <xf numFmtId="3" fontId="9" fillId="10" borderId="10" xfId="0" applyNumberFormat="1" applyFont="1" applyFill="1" applyBorder="1" applyAlignment="1">
      <alignment horizontal="center"/>
    </xf>
    <xf numFmtId="3" fontId="9" fillId="10" borderId="20" xfId="0" applyNumberFormat="1" applyFont="1" applyFill="1" applyBorder="1" applyAlignment="1">
      <alignment horizontal="center"/>
    </xf>
    <xf numFmtId="0" fontId="0" fillId="10" borderId="17" xfId="0" applyFill="1" applyBorder="1" applyAlignment="1">
      <alignment horizontal="center"/>
    </xf>
    <xf numFmtId="0" fontId="0" fillId="10" borderId="18" xfId="0" applyFill="1" applyBorder="1" applyAlignment="1">
      <alignment horizontal="center"/>
    </xf>
    <xf numFmtId="0" fontId="0" fillId="10" borderId="6" xfId="0" applyFill="1" applyBorder="1" applyAlignment="1">
      <alignment horizontal="center"/>
    </xf>
    <xf numFmtId="0" fontId="0" fillId="10" borderId="9" xfId="0" applyFill="1" applyBorder="1" applyAlignment="1">
      <alignment horizontal="center"/>
    </xf>
    <xf numFmtId="0" fontId="0" fillId="10" borderId="10" xfId="0" applyFill="1" applyBorder="1" applyAlignment="1">
      <alignment horizontal="center"/>
    </xf>
    <xf numFmtId="0" fontId="0" fillId="10" borderId="20" xfId="0" applyFill="1" applyBorder="1" applyAlignment="1">
      <alignment horizontal="center"/>
    </xf>
    <xf numFmtId="0" fontId="0" fillId="17" borderId="17" xfId="0" applyFill="1" applyBorder="1" applyAlignment="1">
      <alignment horizontal="center"/>
    </xf>
    <xf numFmtId="0" fontId="0" fillId="17" borderId="18" xfId="0" applyFill="1" applyBorder="1" applyAlignment="1">
      <alignment horizontal="center"/>
    </xf>
    <xf numFmtId="0" fontId="0" fillId="17" borderId="6" xfId="0" applyFill="1" applyBorder="1" applyAlignment="1">
      <alignment horizontal="center"/>
    </xf>
    <xf numFmtId="0" fontId="0" fillId="17" borderId="9" xfId="0" applyFill="1" applyBorder="1" applyAlignment="1">
      <alignment horizontal="center"/>
    </xf>
    <xf numFmtId="0" fontId="0" fillId="17" borderId="10" xfId="0" applyFill="1" applyBorder="1" applyAlignment="1">
      <alignment horizontal="center"/>
    </xf>
    <xf numFmtId="0" fontId="0" fillId="17" borderId="20"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6" borderId="6" xfId="0"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0" fillId="6" borderId="20" xfId="0" applyFill="1" applyBorder="1" applyAlignment="1">
      <alignment horizontal="center"/>
    </xf>
    <xf numFmtId="0" fontId="0" fillId="18" borderId="17" xfId="0" applyFill="1" applyBorder="1" applyAlignment="1">
      <alignment horizontal="center"/>
    </xf>
    <xf numFmtId="0" fontId="0" fillId="18" borderId="18" xfId="0" applyFill="1" applyBorder="1" applyAlignment="1">
      <alignment horizontal="center"/>
    </xf>
    <xf numFmtId="0" fontId="0" fillId="18" borderId="6" xfId="0" applyFill="1" applyBorder="1" applyAlignment="1">
      <alignment horizontal="center"/>
    </xf>
    <xf numFmtId="0" fontId="0" fillId="18" borderId="9" xfId="0" applyFill="1" applyBorder="1" applyAlignment="1">
      <alignment horizontal="center"/>
    </xf>
    <xf numFmtId="0" fontId="0" fillId="18" borderId="10" xfId="0" applyFill="1" applyBorder="1" applyAlignment="1">
      <alignment horizontal="center"/>
    </xf>
    <xf numFmtId="0" fontId="0" fillId="18" borderId="20" xfId="0" applyFill="1" applyBorder="1" applyAlignment="1">
      <alignment horizontal="center"/>
    </xf>
    <xf numFmtId="0" fontId="0" fillId="0" borderId="0" xfId="0" applyAlignment="1">
      <alignment horizontal="center"/>
    </xf>
    <xf numFmtId="0" fontId="4" fillId="10" borderId="1" xfId="0" applyFont="1" applyFill="1" applyBorder="1" applyAlignment="1">
      <alignment horizontal="left"/>
    </xf>
  </cellXfs>
  <cellStyles count="4">
    <cellStyle name="Hyperkobling" xfId="2" builtinId="8"/>
    <cellStyle name="Komma" xfId="1" builtinId="3"/>
    <cellStyle name="Normal" xfId="0" builtinId="0"/>
    <cellStyle name="Pros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Oddmund Klæboe" id="{B0AB1BEC-9521-47C1-BA40-286125E4583E}" userId="0d47df02a0b06bcc" providerId="Windows Live"/>
</personList>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7" dT="2023-10-31T08:17:27.34" personId="{B0AB1BEC-9521-47C1-BA40-286125E4583E}" id="{C85971E7-A915-45BA-B26C-3EFB2F2FC649}">
    <text xml:space="preserve">Gjelder NO4, totalt forbruk 2022: 19,8TWh, 8 øre fram til 2035, deretter 5 øre
</text>
  </threadedComment>
  <threadedComment ref="B27" dT="2023-10-31T08:17:27.34" personId="{B0AB1BEC-9521-47C1-BA40-286125E4583E}" id="{3C3B27A9-FA48-4E14-88DE-DF73764D4CFC}">
    <text xml:space="preserve">Gjelder NO4, totalt forbruk 2022: 19,8TWh, 8 øre fram til 2035, deretter 5 øre
</text>
  </threadedComment>
  <threadedComment ref="B48" dT="2023-10-31T08:17:27.34" personId="{B0AB1BEC-9521-47C1-BA40-286125E4583E}" id="{C37D1DB6-8A58-4A5F-81BB-337191017B13}">
    <text xml:space="preserve">Gjelder NO4, totalt forbruk 2022: 19,8TWh, 8 øre fram til 2035, deretter 5 øre
</text>
  </threadedComment>
</ThreadedComments>
</file>

<file path=xl/threadedComments/threadedComment2.xml><?xml version="1.0" encoding="utf-8"?>
<ThreadedComments xmlns="http://schemas.microsoft.com/office/spreadsheetml/2018/threadedcomments" xmlns:x="http://schemas.openxmlformats.org/spreadsheetml/2006/main">
  <threadedComment ref="B25" dT="2023-10-25T10:33:42.35" personId="{B0AB1BEC-9521-47C1-BA40-286125E4583E}" id="{0802D44C-3D28-4A5C-B056-8B18C2F5F51F}">
    <text>Hvilken pris skal brukes?</text>
  </threadedComment>
  <threadedComment ref="B25" dT="2023-10-25T11:08:37.79" personId="{B0AB1BEC-9521-47C1-BA40-286125E4583E}" id="{2357C0F4-845C-435B-B163-CD5F76E82BF7}" parentId="{0802D44C-3D28-4A5C-B056-8B18C2F5F51F}">
    <text>Høy bane. Kan velge alle tre alternativene. Klimamålene til FN. S 22 i dok</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9B54-9CAE-4569-932E-815CD5032EC8}">
  <dimension ref="D1:F22"/>
  <sheetViews>
    <sheetView showGridLines="0" tabSelected="1" workbookViewId="0"/>
  </sheetViews>
  <sheetFormatPr baseColWidth="10" defaultColWidth="11.42578125" defaultRowHeight="15" x14ac:dyDescent="0.25"/>
  <cols>
    <col min="1" max="1" width="25" bestFit="1" customWidth="1"/>
    <col min="4" max="4" width="48.28515625" bestFit="1" customWidth="1"/>
    <col min="5" max="5" width="3.7109375" customWidth="1"/>
    <col min="6" max="6" width="44.85546875" bestFit="1" customWidth="1"/>
  </cols>
  <sheetData>
    <row r="1" spans="4:6" ht="15.75" thickBot="1" x14ac:dyDescent="0.3"/>
    <row r="2" spans="4:6" ht="19.5" thickBot="1" x14ac:dyDescent="0.35">
      <c r="D2" s="142" t="s">
        <v>0</v>
      </c>
      <c r="E2" s="143"/>
      <c r="F2" s="144"/>
    </row>
    <row r="4" spans="4:6" ht="15.75" thickBot="1" x14ac:dyDescent="0.3"/>
    <row r="5" spans="4:6" ht="15.75" thickBot="1" x14ac:dyDescent="0.3">
      <c r="D5" s="122" t="s">
        <v>1</v>
      </c>
      <c r="F5" s="122" t="s">
        <v>2</v>
      </c>
    </row>
    <row r="6" spans="4:6" x14ac:dyDescent="0.25">
      <c r="D6" s="139" t="s">
        <v>3</v>
      </c>
      <c r="F6" s="139" t="s">
        <v>4</v>
      </c>
    </row>
    <row r="7" spans="4:6" x14ac:dyDescent="0.25">
      <c r="D7" s="140" t="s">
        <v>5</v>
      </c>
      <c r="F7" s="140" t="s">
        <v>6</v>
      </c>
    </row>
    <row r="8" spans="4:6" ht="15.75" thickBot="1" x14ac:dyDescent="0.3">
      <c r="D8" s="141" t="s">
        <v>7</v>
      </c>
      <c r="F8" s="141" t="s">
        <v>8</v>
      </c>
    </row>
    <row r="9" spans="4:6" ht="15.75" thickBot="1" x14ac:dyDescent="0.3"/>
    <row r="10" spans="4:6" ht="15.75" thickBot="1" x14ac:dyDescent="0.3">
      <c r="D10" s="122" t="s">
        <v>9</v>
      </c>
      <c r="F10" s="122" t="s">
        <v>10</v>
      </c>
    </row>
    <row r="11" spans="4:6" x14ac:dyDescent="0.25">
      <c r="D11" s="139" t="s">
        <v>4</v>
      </c>
      <c r="F11" s="139" t="s">
        <v>11</v>
      </c>
    </row>
    <row r="12" spans="4:6" x14ac:dyDescent="0.25">
      <c r="D12" s="140" t="s">
        <v>12</v>
      </c>
      <c r="F12" s="140" t="s">
        <v>13</v>
      </c>
    </row>
    <row r="13" spans="4:6" ht="15.75" thickBot="1" x14ac:dyDescent="0.3">
      <c r="D13" s="141"/>
      <c r="F13" s="141" t="s">
        <v>14</v>
      </c>
    </row>
    <row r="14" spans="4:6" ht="15.75" thickBot="1" x14ac:dyDescent="0.3"/>
    <row r="15" spans="4:6" ht="15.75" thickBot="1" x14ac:dyDescent="0.3">
      <c r="D15" s="122" t="s">
        <v>15</v>
      </c>
      <c r="F15" s="122" t="s">
        <v>16</v>
      </c>
    </row>
    <row r="16" spans="4:6" x14ac:dyDescent="0.25">
      <c r="D16" s="139" t="s">
        <v>11</v>
      </c>
      <c r="F16" s="139" t="s">
        <v>17</v>
      </c>
    </row>
    <row r="17" spans="4:6" x14ac:dyDescent="0.25">
      <c r="D17" s="140" t="s">
        <v>18</v>
      </c>
      <c r="F17" s="140" t="s">
        <v>19</v>
      </c>
    </row>
    <row r="18" spans="4:6" ht="15.75" thickBot="1" x14ac:dyDescent="0.3">
      <c r="D18" s="141" t="s">
        <v>20</v>
      </c>
      <c r="F18" s="141"/>
    </row>
    <row r="19" spans="4:6" ht="15.75" thickBot="1" x14ac:dyDescent="0.3"/>
    <row r="20" spans="4:6" ht="15.75" thickBot="1" x14ac:dyDescent="0.3">
      <c r="D20" s="122" t="s">
        <v>21</v>
      </c>
    </row>
    <row r="21" spans="4:6" x14ac:dyDescent="0.25">
      <c r="D21" s="139" t="s">
        <v>22</v>
      </c>
    </row>
    <row r="22" spans="4:6" ht="15.75" thickBot="1" x14ac:dyDescent="0.3">
      <c r="D22" s="141" t="s">
        <v>23</v>
      </c>
    </row>
  </sheetData>
  <mergeCells count="1">
    <mergeCell ref="D2:F2"/>
  </mergeCells>
  <hyperlinks>
    <hyperlink ref="D5" location="'Netto nåverdier oppsummering'!A1" display="Netto nåverdier oppsummering" xr:uid="{48EB1D8A-5766-47E3-B18A-277762A027BA}"/>
    <hyperlink ref="F5" location="'NNV- Elektrifisering av Melkøya'!A1" display="NNV- Elektrifisering av Melkøya" xr:uid="{7B5E317B-FC6D-4477-BB2D-E34031399914}"/>
    <hyperlink ref="D10" location="'NNV- nullalternativ'!A1" display="NNV- nullalternativ" xr:uid="{054EDC3E-DDCD-4DC2-BCEE-DD4022B1D3F5}"/>
    <hyperlink ref="F10" location="Følsomhetsanalyse!A1" display="Følsomhetsanalyse" xr:uid="{8B64EDA3-68E5-4123-B2F7-3A55D8DEBBE9}"/>
    <hyperlink ref="D15" location="'Endring karbonpris'!A1" display="Endring karbonpris" xr:uid="{496D2A8B-E557-4661-9C21-5CC525648C7A}"/>
    <hyperlink ref="F15" location="Karbonprisbaner!A1" display="Karbonprisbaner" xr:uid="{4135DED5-8776-4C7D-8BD2-8A64138AF127}"/>
    <hyperlink ref="D20" location="Noter!A1" display="Noter" xr:uid="{10434BD0-9EE1-4611-A53C-987C763F5AF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2FA7E-7009-486B-82DF-7C66C90164FF}">
  <dimension ref="A1:CA23"/>
  <sheetViews>
    <sheetView workbookViewId="0">
      <selection activeCell="A18" sqref="A18"/>
    </sheetView>
  </sheetViews>
  <sheetFormatPr baseColWidth="10" defaultColWidth="11.42578125" defaultRowHeight="15" x14ac:dyDescent="0.25"/>
  <cols>
    <col min="1" max="1" width="34.5703125" customWidth="1"/>
    <col min="2" max="2" width="5" bestFit="1" customWidth="1"/>
    <col min="3" max="3" width="8.5703125" bestFit="1" customWidth="1"/>
    <col min="4" max="26" width="5" bestFit="1" customWidth="1"/>
    <col min="27" max="79" width="6" bestFit="1" customWidth="1"/>
  </cols>
  <sheetData>
    <row r="1" spans="1:79" x14ac:dyDescent="0.25">
      <c r="A1" s="1" t="s">
        <v>16</v>
      </c>
    </row>
    <row r="3" spans="1:79" s="53" customFormat="1" x14ac:dyDescent="0.25">
      <c r="A3" s="59" t="s">
        <v>76</v>
      </c>
      <c r="B3" s="60">
        <v>44927</v>
      </c>
      <c r="C3" s="60">
        <v>45292</v>
      </c>
      <c r="D3" s="60">
        <v>45658</v>
      </c>
      <c r="E3" s="60">
        <v>46023</v>
      </c>
      <c r="F3" s="60">
        <v>46388</v>
      </c>
      <c r="G3" s="60">
        <v>46753</v>
      </c>
      <c r="H3" s="60">
        <v>47119</v>
      </c>
      <c r="I3" s="60">
        <v>47484</v>
      </c>
      <c r="J3" s="60">
        <v>47849</v>
      </c>
      <c r="K3" s="60">
        <v>48214</v>
      </c>
      <c r="L3" s="60">
        <v>48580</v>
      </c>
      <c r="M3" s="60">
        <v>48945</v>
      </c>
      <c r="N3" s="60">
        <v>49310</v>
      </c>
      <c r="O3" s="60">
        <v>49675</v>
      </c>
      <c r="P3" s="60">
        <v>50041</v>
      </c>
      <c r="Q3" s="60">
        <v>50406</v>
      </c>
      <c r="R3" s="60">
        <v>50771</v>
      </c>
      <c r="S3" s="60">
        <v>51136</v>
      </c>
      <c r="T3" s="60">
        <v>51502</v>
      </c>
      <c r="U3" s="60">
        <v>51867</v>
      </c>
      <c r="V3" s="60">
        <v>52232</v>
      </c>
      <c r="W3" s="60">
        <v>52597</v>
      </c>
      <c r="X3" s="60">
        <v>52963</v>
      </c>
      <c r="Y3" s="60">
        <v>53328</v>
      </c>
      <c r="Z3" s="60">
        <v>53693</v>
      </c>
      <c r="AA3" s="60">
        <v>54058</v>
      </c>
      <c r="AB3" s="60">
        <v>54424</v>
      </c>
      <c r="AC3" s="60">
        <v>54789</v>
      </c>
      <c r="AD3" s="60">
        <v>55154</v>
      </c>
      <c r="AE3" s="60">
        <v>55519</v>
      </c>
      <c r="AF3" s="60">
        <v>55885</v>
      </c>
      <c r="AG3" s="60">
        <v>56250</v>
      </c>
      <c r="AH3" s="60">
        <v>56615</v>
      </c>
      <c r="AI3" s="60">
        <v>56980</v>
      </c>
      <c r="AJ3" s="60">
        <v>57346</v>
      </c>
      <c r="AK3" s="60">
        <v>57711</v>
      </c>
      <c r="AL3" s="60">
        <v>58076</v>
      </c>
      <c r="AM3" s="60">
        <v>58441</v>
      </c>
      <c r="AN3" s="60">
        <v>58807</v>
      </c>
      <c r="AO3" s="60">
        <v>59172</v>
      </c>
      <c r="AP3" s="60">
        <v>59537</v>
      </c>
      <c r="AQ3" s="60">
        <v>59902</v>
      </c>
      <c r="AR3" s="60">
        <v>60268</v>
      </c>
      <c r="AS3" s="60">
        <v>60633</v>
      </c>
      <c r="AT3" s="60">
        <v>60998</v>
      </c>
      <c r="AU3" s="60">
        <v>61363</v>
      </c>
      <c r="AV3" s="60">
        <v>61729</v>
      </c>
      <c r="AW3" s="60">
        <v>62094</v>
      </c>
      <c r="AX3" s="60">
        <v>62459</v>
      </c>
      <c r="AY3" s="60">
        <v>62824</v>
      </c>
      <c r="AZ3" s="60">
        <v>63190</v>
      </c>
      <c r="BA3" s="60">
        <v>63555</v>
      </c>
      <c r="BB3" s="60">
        <v>63920</v>
      </c>
      <c r="BC3" s="60">
        <v>64285</v>
      </c>
      <c r="BD3" s="60">
        <v>64651</v>
      </c>
      <c r="BE3" s="60">
        <v>65016</v>
      </c>
      <c r="BF3" s="60">
        <v>65381</v>
      </c>
      <c r="BG3" s="60">
        <v>65746</v>
      </c>
      <c r="BH3" s="60">
        <v>66112</v>
      </c>
      <c r="BI3" s="60">
        <v>66477</v>
      </c>
      <c r="BJ3" s="60">
        <v>66842</v>
      </c>
      <c r="BK3" s="60">
        <v>67207</v>
      </c>
      <c r="BL3" s="60">
        <v>67573</v>
      </c>
      <c r="BM3" s="60">
        <v>67938</v>
      </c>
      <c r="BN3" s="60">
        <v>68303</v>
      </c>
      <c r="BO3" s="60">
        <v>68668</v>
      </c>
      <c r="BP3" s="60">
        <v>69034</v>
      </c>
      <c r="BQ3" s="60">
        <v>69399</v>
      </c>
      <c r="BR3" s="60">
        <v>69764</v>
      </c>
      <c r="BS3" s="60">
        <v>70129</v>
      </c>
      <c r="BT3" s="60">
        <v>70495</v>
      </c>
      <c r="BU3" s="60">
        <v>70860</v>
      </c>
      <c r="BV3" s="60">
        <v>71225</v>
      </c>
      <c r="BW3" s="60">
        <v>71590</v>
      </c>
      <c r="BX3" s="60">
        <v>71956</v>
      </c>
      <c r="BY3" s="60">
        <v>72321</v>
      </c>
      <c r="BZ3" s="60">
        <v>72686</v>
      </c>
      <c r="CA3" s="60">
        <v>73051</v>
      </c>
    </row>
    <row r="4" spans="1:79" x14ac:dyDescent="0.25">
      <c r="A4" s="3" t="s">
        <v>147</v>
      </c>
      <c r="B4" s="55">
        <v>1559</v>
      </c>
      <c r="C4" s="55">
        <v>1724</v>
      </c>
      <c r="D4" s="55">
        <v>1907</v>
      </c>
      <c r="E4" s="55">
        <v>2121</v>
      </c>
      <c r="F4" s="55">
        <v>2230</v>
      </c>
      <c r="G4" s="55">
        <v>2230</v>
      </c>
      <c r="H4" s="55">
        <v>2230</v>
      </c>
      <c r="I4" s="55">
        <v>2230</v>
      </c>
      <c r="J4" s="55">
        <v>2230</v>
      </c>
      <c r="K4" s="55">
        <v>2230</v>
      </c>
      <c r="L4" s="55">
        <v>2230</v>
      </c>
      <c r="M4" s="55">
        <v>2230</v>
      </c>
      <c r="N4" s="55">
        <v>2230</v>
      </c>
      <c r="O4" s="55">
        <v>2230</v>
      </c>
      <c r="P4" s="55">
        <v>2230</v>
      </c>
      <c r="Q4" s="55">
        <v>2230</v>
      </c>
      <c r="R4" s="55">
        <v>2230</v>
      </c>
      <c r="S4" s="55">
        <v>2230</v>
      </c>
      <c r="T4" s="55">
        <v>2230</v>
      </c>
      <c r="U4" s="55">
        <v>2230</v>
      </c>
      <c r="V4" s="55">
        <v>2230</v>
      </c>
      <c r="W4" s="55">
        <v>2230</v>
      </c>
      <c r="X4" s="55">
        <v>2230</v>
      </c>
      <c r="Y4" s="55">
        <v>2230</v>
      </c>
      <c r="Z4" s="55">
        <v>2230</v>
      </c>
      <c r="AA4" s="55">
        <v>2230</v>
      </c>
      <c r="AB4" s="55">
        <v>2230</v>
      </c>
      <c r="AC4" s="55">
        <v>2230</v>
      </c>
      <c r="AD4" s="55">
        <v>2230</v>
      </c>
      <c r="AE4" s="55">
        <v>2230</v>
      </c>
      <c r="AF4" s="55">
        <v>2230</v>
      </c>
      <c r="AG4" s="55">
        <v>2293</v>
      </c>
      <c r="AH4" s="55">
        <v>2385</v>
      </c>
      <c r="AI4" s="55">
        <v>2480</v>
      </c>
      <c r="AJ4" s="55">
        <v>2579</v>
      </c>
      <c r="AK4" s="55">
        <v>2682</v>
      </c>
      <c r="AL4" s="55">
        <v>2790</v>
      </c>
      <c r="AM4" s="55">
        <v>2901</v>
      </c>
      <c r="AN4" s="55">
        <v>3017</v>
      </c>
      <c r="AO4" s="55">
        <v>3138</v>
      </c>
      <c r="AP4" s="55">
        <v>3264</v>
      </c>
      <c r="AQ4" s="55">
        <v>3361</v>
      </c>
      <c r="AR4" s="55">
        <v>3462</v>
      </c>
      <c r="AS4" s="55">
        <v>3566</v>
      </c>
      <c r="AT4" s="55">
        <v>3673</v>
      </c>
      <c r="AU4" s="55">
        <v>3783</v>
      </c>
      <c r="AV4" s="55">
        <v>3897</v>
      </c>
      <c r="AW4" s="55">
        <v>4014</v>
      </c>
      <c r="AX4" s="55">
        <v>4134</v>
      </c>
      <c r="AY4" s="55">
        <v>4258</v>
      </c>
      <c r="AZ4" s="55">
        <v>4386</v>
      </c>
      <c r="BA4" s="55">
        <v>4518</v>
      </c>
      <c r="BB4" s="55">
        <v>4653</v>
      </c>
      <c r="BC4" s="55">
        <v>4793</v>
      </c>
      <c r="BD4" s="55">
        <v>4936</v>
      </c>
      <c r="BE4" s="55">
        <v>5084</v>
      </c>
      <c r="BF4" s="55">
        <v>5237</v>
      </c>
      <c r="BG4" s="55">
        <v>5394</v>
      </c>
      <c r="BH4" s="55">
        <v>5556</v>
      </c>
      <c r="BI4" s="55">
        <v>5723</v>
      </c>
      <c r="BJ4" s="55">
        <v>5894</v>
      </c>
      <c r="BK4" s="55">
        <v>6071</v>
      </c>
      <c r="BL4" s="55">
        <v>6253</v>
      </c>
      <c r="BM4" s="55">
        <v>6441</v>
      </c>
      <c r="BN4" s="55">
        <v>6634</v>
      </c>
      <c r="BO4" s="55">
        <v>6833</v>
      </c>
      <c r="BP4" s="55">
        <v>7038</v>
      </c>
      <c r="BQ4" s="55">
        <v>7249</v>
      </c>
      <c r="BR4" s="55">
        <v>7467</v>
      </c>
      <c r="BS4" s="55">
        <v>7691</v>
      </c>
      <c r="BT4" s="55">
        <v>7921</v>
      </c>
      <c r="BU4" s="55">
        <v>8080</v>
      </c>
      <c r="BV4" s="55">
        <v>8242</v>
      </c>
      <c r="BW4" s="55">
        <v>8406</v>
      </c>
      <c r="BX4" s="55">
        <v>8574</v>
      </c>
      <c r="BY4" s="55">
        <v>8746</v>
      </c>
      <c r="BZ4" s="55">
        <v>8921</v>
      </c>
      <c r="CA4" s="55">
        <v>9099</v>
      </c>
    </row>
    <row r="5" spans="1:79" s="1" customFormat="1" x14ac:dyDescent="0.25">
      <c r="A5"/>
    </row>
    <row r="6" spans="1:79" s="1" customFormat="1" x14ac:dyDescent="0.25">
      <c r="A6" t="s">
        <v>163</v>
      </c>
    </row>
    <row r="7" spans="1:79" s="53" customFormat="1" x14ac:dyDescent="0.25">
      <c r="A7" s="59" t="s">
        <v>76</v>
      </c>
      <c r="B7" s="60">
        <v>44927</v>
      </c>
      <c r="C7" s="60">
        <v>45292</v>
      </c>
      <c r="D7" s="60">
        <v>45658</v>
      </c>
      <c r="E7" s="60">
        <v>46023</v>
      </c>
      <c r="F7" s="60">
        <v>46388</v>
      </c>
      <c r="G7" s="60">
        <v>46753</v>
      </c>
      <c r="H7" s="60">
        <v>47119</v>
      </c>
      <c r="I7" s="60">
        <v>47484</v>
      </c>
      <c r="J7" s="60">
        <v>47849</v>
      </c>
      <c r="K7" s="60">
        <v>48214</v>
      </c>
      <c r="L7" s="60">
        <v>48580</v>
      </c>
      <c r="M7" s="60">
        <v>48945</v>
      </c>
      <c r="N7" s="60">
        <v>49310</v>
      </c>
      <c r="O7" s="60">
        <v>49675</v>
      </c>
      <c r="P7" s="60">
        <v>50041</v>
      </c>
      <c r="Q7" s="60">
        <v>50406</v>
      </c>
      <c r="R7" s="60">
        <v>50771</v>
      </c>
      <c r="S7" s="60">
        <v>51136</v>
      </c>
      <c r="T7" s="60">
        <v>51502</v>
      </c>
      <c r="U7" s="60">
        <v>51867</v>
      </c>
      <c r="V7" s="60">
        <v>52232</v>
      </c>
      <c r="W7" s="60">
        <v>52597</v>
      </c>
      <c r="X7" s="60">
        <v>52963</v>
      </c>
      <c r="Y7" s="60">
        <v>53328</v>
      </c>
      <c r="Z7" s="60">
        <v>53693</v>
      </c>
      <c r="AA7" s="60">
        <v>54058</v>
      </c>
      <c r="AB7" s="60">
        <v>54424</v>
      </c>
      <c r="AC7" s="60">
        <v>54789</v>
      </c>
      <c r="AD7" s="60">
        <v>55154</v>
      </c>
      <c r="AE7" s="60">
        <v>55519</v>
      </c>
      <c r="AF7" s="60">
        <v>55885</v>
      </c>
      <c r="AG7" s="60">
        <v>56250</v>
      </c>
      <c r="AH7" s="60">
        <v>56615</v>
      </c>
      <c r="AI7" s="60">
        <v>56980</v>
      </c>
      <c r="AJ7" s="60">
        <v>57346</v>
      </c>
      <c r="AK7" s="60">
        <v>57711</v>
      </c>
      <c r="AL7" s="60">
        <v>58076</v>
      </c>
      <c r="AM7" s="60">
        <v>58441</v>
      </c>
      <c r="AN7" s="60">
        <v>58807</v>
      </c>
      <c r="AO7" s="60">
        <v>59172</v>
      </c>
      <c r="AP7" s="60">
        <v>59537</v>
      </c>
      <c r="AQ7" s="60">
        <v>59902</v>
      </c>
      <c r="AR7" s="60">
        <v>60268</v>
      </c>
      <c r="AS7" s="60">
        <v>60633</v>
      </c>
      <c r="AT7" s="60">
        <v>60998</v>
      </c>
      <c r="AU7" s="60">
        <v>61363</v>
      </c>
      <c r="AV7" s="60">
        <v>61729</v>
      </c>
      <c r="AW7" s="60">
        <v>62094</v>
      </c>
      <c r="AX7" s="60">
        <v>62459</v>
      </c>
      <c r="AY7" s="60">
        <v>62824</v>
      </c>
      <c r="AZ7" s="60">
        <v>63190</v>
      </c>
      <c r="BA7" s="60">
        <v>63555</v>
      </c>
      <c r="BB7" s="60">
        <v>63920</v>
      </c>
      <c r="BC7" s="60">
        <v>64285</v>
      </c>
      <c r="BD7" s="60">
        <v>64651</v>
      </c>
      <c r="BE7" s="60">
        <v>65016</v>
      </c>
      <c r="BF7" s="60">
        <v>65381</v>
      </c>
      <c r="BG7" s="60">
        <v>65746</v>
      </c>
      <c r="BH7" s="60">
        <v>66112</v>
      </c>
      <c r="BI7" s="60">
        <v>66477</v>
      </c>
      <c r="BJ7" s="60">
        <v>66842</v>
      </c>
      <c r="BK7" s="60">
        <v>67207</v>
      </c>
      <c r="BL7" s="60">
        <v>67573</v>
      </c>
      <c r="BM7" s="60">
        <v>67938</v>
      </c>
      <c r="BN7" s="60">
        <v>68303</v>
      </c>
      <c r="BO7" s="60">
        <v>68668</v>
      </c>
      <c r="BP7" s="60">
        <v>69034</v>
      </c>
      <c r="BQ7" s="60">
        <v>69399</v>
      </c>
      <c r="BR7" s="60">
        <v>69764</v>
      </c>
      <c r="BS7" s="60">
        <v>70129</v>
      </c>
      <c r="BT7" s="60">
        <v>70495</v>
      </c>
      <c r="BU7" s="60">
        <v>70860</v>
      </c>
      <c r="BV7" s="60">
        <v>71225</v>
      </c>
      <c r="BW7" s="60">
        <v>71590</v>
      </c>
      <c r="BX7" s="60">
        <v>71956</v>
      </c>
      <c r="BY7" s="60">
        <v>72321</v>
      </c>
      <c r="BZ7" s="60">
        <v>72686</v>
      </c>
      <c r="CA7" s="60">
        <v>73051</v>
      </c>
    </row>
    <row r="8" spans="1:79" x14ac:dyDescent="0.25">
      <c r="A8" s="54" t="s">
        <v>164</v>
      </c>
      <c r="B8" s="55">
        <v>598</v>
      </c>
      <c r="C8" s="55">
        <v>627</v>
      </c>
      <c r="D8" s="55">
        <v>654</v>
      </c>
      <c r="E8" s="55">
        <v>686</v>
      </c>
      <c r="F8" s="55">
        <v>703</v>
      </c>
      <c r="G8" s="55">
        <v>721</v>
      </c>
      <c r="H8" s="55">
        <v>739</v>
      </c>
      <c r="I8" s="56">
        <v>757</v>
      </c>
      <c r="J8" s="56">
        <v>787</v>
      </c>
      <c r="K8" s="56">
        <v>819</v>
      </c>
      <c r="L8" s="56">
        <v>852</v>
      </c>
      <c r="M8" s="56">
        <v>886</v>
      </c>
      <c r="N8" s="56">
        <v>921</v>
      </c>
      <c r="O8" s="56">
        <v>958</v>
      </c>
      <c r="P8" s="56">
        <v>996</v>
      </c>
      <c r="Q8" s="56">
        <v>1036</v>
      </c>
      <c r="R8" s="56">
        <v>1078</v>
      </c>
      <c r="S8" s="56">
        <v>1121</v>
      </c>
      <c r="T8" s="56">
        <v>1166</v>
      </c>
      <c r="U8" s="56">
        <v>1212</v>
      </c>
      <c r="V8" s="56">
        <v>1261</v>
      </c>
      <c r="W8" s="56">
        <v>1311</v>
      </c>
      <c r="X8" s="56">
        <v>1364</v>
      </c>
      <c r="Y8" s="56">
        <v>1418</v>
      </c>
      <c r="Z8" s="56">
        <v>1475</v>
      </c>
      <c r="AA8" s="56">
        <v>1534</v>
      </c>
      <c r="AB8" s="56">
        <v>1595</v>
      </c>
      <c r="AC8" s="56">
        <v>1659</v>
      </c>
      <c r="AD8" s="55">
        <v>1725</v>
      </c>
      <c r="AE8" s="55">
        <v>1794</v>
      </c>
      <c r="AF8" s="55">
        <v>1866</v>
      </c>
      <c r="AG8" s="55">
        <v>1941</v>
      </c>
      <c r="AH8" s="55">
        <v>2018</v>
      </c>
      <c r="AI8" s="55">
        <v>2099</v>
      </c>
      <c r="AJ8" s="55">
        <v>2183</v>
      </c>
      <c r="AK8" s="55">
        <v>2270</v>
      </c>
      <c r="AL8" s="55">
        <v>2361</v>
      </c>
      <c r="AM8" s="55">
        <v>2456</v>
      </c>
      <c r="AN8" s="55">
        <v>2554</v>
      </c>
      <c r="AO8" s="55">
        <v>2656</v>
      </c>
      <c r="AP8" s="55">
        <v>2762</v>
      </c>
      <c r="AQ8" s="55">
        <v>2845</v>
      </c>
      <c r="AR8" s="55">
        <v>2931</v>
      </c>
      <c r="AS8" s="55">
        <v>3019</v>
      </c>
      <c r="AT8" s="55">
        <v>3109</v>
      </c>
      <c r="AU8" s="55">
        <v>3202</v>
      </c>
      <c r="AV8" s="55">
        <v>3298</v>
      </c>
      <c r="AW8" s="55">
        <v>3397</v>
      </c>
      <c r="AX8" s="55">
        <v>3499</v>
      </c>
      <c r="AY8" s="55">
        <v>3604</v>
      </c>
      <c r="AZ8" s="55">
        <v>3712</v>
      </c>
      <c r="BA8" s="55">
        <v>3824</v>
      </c>
      <c r="BB8" s="55">
        <v>3938</v>
      </c>
      <c r="BC8" s="55">
        <v>4057</v>
      </c>
      <c r="BD8" s="55">
        <v>4178</v>
      </c>
      <c r="BE8" s="55">
        <v>4304</v>
      </c>
      <c r="BF8" s="55">
        <v>4433</v>
      </c>
      <c r="BG8" s="55">
        <v>4566</v>
      </c>
      <c r="BH8" s="55">
        <v>4703</v>
      </c>
      <c r="BI8" s="55">
        <v>4844</v>
      </c>
      <c r="BJ8" s="55">
        <v>4989</v>
      </c>
      <c r="BK8" s="55">
        <v>5139</v>
      </c>
      <c r="BL8" s="55">
        <v>5293</v>
      </c>
      <c r="BM8" s="55">
        <v>5452</v>
      </c>
      <c r="BN8" s="55">
        <v>5615</v>
      </c>
      <c r="BO8" s="55">
        <v>5784</v>
      </c>
      <c r="BP8" s="55">
        <v>5957</v>
      </c>
      <c r="BQ8" s="55">
        <v>6136</v>
      </c>
      <c r="BR8" s="55">
        <v>6320</v>
      </c>
      <c r="BS8" s="55">
        <v>6510</v>
      </c>
      <c r="BT8" s="55">
        <v>6705</v>
      </c>
      <c r="BU8" s="55">
        <v>6839</v>
      </c>
      <c r="BV8" s="55">
        <v>6976</v>
      </c>
      <c r="BW8" s="55">
        <v>7115</v>
      </c>
      <c r="BX8" s="55">
        <v>7258</v>
      </c>
      <c r="BY8" s="55">
        <v>7403</v>
      </c>
      <c r="BZ8" s="55">
        <v>7551</v>
      </c>
      <c r="CA8" s="55">
        <v>7702</v>
      </c>
    </row>
    <row r="9" spans="1:79" x14ac:dyDescent="0.25">
      <c r="A9" s="54" t="s">
        <v>165</v>
      </c>
      <c r="B9" s="55">
        <v>1470</v>
      </c>
      <c r="C9" s="55">
        <v>1679</v>
      </c>
      <c r="D9" s="57">
        <v>1918</v>
      </c>
      <c r="E9" s="55">
        <v>2096</v>
      </c>
      <c r="F9" s="55">
        <v>2291</v>
      </c>
      <c r="G9" s="55">
        <v>2504</v>
      </c>
      <c r="H9" s="55">
        <v>2736</v>
      </c>
      <c r="I9" s="58">
        <v>2990</v>
      </c>
      <c r="J9" s="56">
        <v>3268</v>
      </c>
      <c r="K9" s="56">
        <v>3572</v>
      </c>
      <c r="L9" s="56">
        <v>3904</v>
      </c>
      <c r="M9" s="56">
        <v>4267</v>
      </c>
      <c r="N9" s="56">
        <v>4664</v>
      </c>
      <c r="O9" s="56">
        <v>5098</v>
      </c>
      <c r="P9" s="56">
        <v>5572</v>
      </c>
      <c r="Q9" s="56">
        <v>6091</v>
      </c>
      <c r="R9" s="56">
        <v>6657</v>
      </c>
      <c r="S9" s="58">
        <v>7277</v>
      </c>
      <c r="T9" s="56">
        <v>7588</v>
      </c>
      <c r="U9" s="56">
        <v>7912</v>
      </c>
      <c r="V9" s="56">
        <v>8250</v>
      </c>
      <c r="W9" s="56">
        <v>8603</v>
      </c>
      <c r="X9" s="56">
        <v>8971</v>
      </c>
      <c r="Y9" s="56">
        <v>9355</v>
      </c>
      <c r="Z9" s="56">
        <v>9755</v>
      </c>
      <c r="AA9" s="56">
        <v>10172</v>
      </c>
      <c r="AB9" s="56">
        <v>10607</v>
      </c>
      <c r="AC9" s="58">
        <v>11060</v>
      </c>
      <c r="AD9" s="55">
        <v>11353</v>
      </c>
      <c r="AE9" s="55">
        <v>11654</v>
      </c>
      <c r="AF9" s="55">
        <v>11963</v>
      </c>
      <c r="AG9" s="55">
        <v>12280</v>
      </c>
      <c r="AH9" s="55">
        <v>12606</v>
      </c>
      <c r="AI9" s="55">
        <v>12940</v>
      </c>
      <c r="AJ9" s="55">
        <v>13283</v>
      </c>
      <c r="AK9" s="55">
        <v>13635</v>
      </c>
      <c r="AL9" s="55">
        <v>13997</v>
      </c>
      <c r="AM9" s="55">
        <v>14368</v>
      </c>
      <c r="AN9" s="55">
        <v>14584</v>
      </c>
      <c r="AO9" s="55">
        <v>14804</v>
      </c>
      <c r="AP9" s="55">
        <v>15026</v>
      </c>
      <c r="AQ9" s="55">
        <v>15253</v>
      </c>
      <c r="AR9" s="55">
        <v>15482</v>
      </c>
      <c r="AS9" s="55">
        <v>15715</v>
      </c>
      <c r="AT9" s="55">
        <v>15952</v>
      </c>
      <c r="AU9" s="55">
        <v>16192</v>
      </c>
      <c r="AV9" s="55">
        <v>16436</v>
      </c>
      <c r="AW9" s="55">
        <v>16683</v>
      </c>
      <c r="AX9" s="55">
        <v>17504</v>
      </c>
      <c r="AY9" s="55">
        <v>18366</v>
      </c>
      <c r="AZ9" s="55">
        <v>19270</v>
      </c>
      <c r="BA9" s="55">
        <v>20219</v>
      </c>
      <c r="BB9" s="55">
        <v>21214</v>
      </c>
      <c r="BC9" s="55">
        <v>22259</v>
      </c>
      <c r="BD9" s="55">
        <v>23354</v>
      </c>
      <c r="BE9" s="55">
        <v>24504</v>
      </c>
      <c r="BF9" s="55">
        <v>25710</v>
      </c>
      <c r="BG9" s="55">
        <v>26976</v>
      </c>
      <c r="BH9" s="55">
        <v>27584</v>
      </c>
      <c r="BI9" s="55">
        <v>28205</v>
      </c>
      <c r="BJ9" s="55">
        <v>28841</v>
      </c>
      <c r="BK9" s="55">
        <v>29491</v>
      </c>
      <c r="BL9" s="55">
        <v>30156</v>
      </c>
      <c r="BM9" s="55">
        <v>30835</v>
      </c>
      <c r="BN9" s="55">
        <v>31530</v>
      </c>
      <c r="BO9" s="55">
        <v>32241</v>
      </c>
      <c r="BP9" s="55">
        <v>32967</v>
      </c>
      <c r="BQ9" s="55">
        <v>33710</v>
      </c>
      <c r="BR9" s="55">
        <v>34897</v>
      </c>
      <c r="BS9" s="55">
        <v>36127</v>
      </c>
      <c r="BT9" s="55">
        <v>37399</v>
      </c>
      <c r="BU9" s="55">
        <v>38717</v>
      </c>
      <c r="BV9" s="55">
        <v>40080</v>
      </c>
      <c r="BW9" s="55">
        <v>41492</v>
      </c>
      <c r="BX9" s="55">
        <v>42954</v>
      </c>
      <c r="BY9" s="55">
        <v>44467</v>
      </c>
      <c r="BZ9" s="55">
        <v>46033</v>
      </c>
      <c r="CA9" s="55">
        <v>47654</v>
      </c>
    </row>
    <row r="11" spans="1:79" x14ac:dyDescent="0.25">
      <c r="A11" t="s">
        <v>166</v>
      </c>
    </row>
    <row r="13" spans="1:79" x14ac:dyDescent="0.25">
      <c r="A13" s="74" t="s">
        <v>167</v>
      </c>
    </row>
    <row r="16" spans="1:79" x14ac:dyDescent="0.25">
      <c r="A16" t="s">
        <v>168</v>
      </c>
    </row>
    <row r="17" spans="1:79" ht="15.75" thickBot="1" x14ac:dyDescent="0.3"/>
    <row r="18" spans="1:79" ht="15.75" thickBot="1" x14ac:dyDescent="0.3">
      <c r="A18" s="122" t="s">
        <v>32</v>
      </c>
    </row>
    <row r="20" spans="1:79" x14ac:dyDescent="0.25">
      <c r="C20" s="119"/>
      <c r="D20" s="119"/>
      <c r="E20" s="119"/>
      <c r="F20" s="119"/>
      <c r="G20" s="119"/>
      <c r="H20" s="119"/>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19"/>
      <c r="AJ20" s="119"/>
      <c r="AK20" s="119"/>
      <c r="AL20" s="119"/>
      <c r="AM20" s="119"/>
      <c r="AN20" s="119"/>
      <c r="AO20" s="119"/>
      <c r="AP20" s="119"/>
      <c r="AQ20" s="119"/>
      <c r="AR20" s="119"/>
      <c r="AS20" s="119"/>
      <c r="AT20" s="119"/>
      <c r="AU20" s="119"/>
      <c r="AV20" s="119"/>
      <c r="AW20" s="119"/>
      <c r="AX20" s="119"/>
      <c r="AY20" s="119"/>
      <c r="AZ20" s="119"/>
      <c r="BA20" s="119"/>
      <c r="BB20" s="119"/>
      <c r="BC20" s="119"/>
      <c r="BD20" s="119"/>
      <c r="BE20" s="119"/>
      <c r="BF20" s="119"/>
      <c r="BG20" s="119"/>
      <c r="BH20" s="119"/>
      <c r="BI20" s="119"/>
      <c r="BJ20" s="119"/>
      <c r="BK20" s="119"/>
      <c r="BL20" s="119"/>
      <c r="BM20" s="119"/>
      <c r="BN20" s="119"/>
      <c r="BO20" s="119"/>
      <c r="BP20" s="119"/>
      <c r="BQ20" s="119"/>
      <c r="BR20" s="119"/>
      <c r="BS20" s="119"/>
      <c r="BT20" s="119"/>
      <c r="BU20" s="119"/>
      <c r="BV20" s="119"/>
      <c r="BW20" s="119"/>
      <c r="BX20" s="119"/>
      <c r="BY20" s="119"/>
      <c r="BZ20" s="119"/>
      <c r="CA20" s="119"/>
    </row>
    <row r="21" spans="1:79" x14ac:dyDescent="0.25">
      <c r="C21" s="120"/>
    </row>
    <row r="22" spans="1:79" x14ac:dyDescent="0.25">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c r="AI22" s="119"/>
      <c r="AJ22" s="119"/>
      <c r="AK22" s="119"/>
      <c r="AL22" s="119"/>
      <c r="AM22" s="119"/>
      <c r="AN22" s="119"/>
      <c r="AO22" s="119"/>
      <c r="AP22" s="119"/>
      <c r="AQ22" s="119"/>
      <c r="AR22" s="119"/>
      <c r="AS22" s="119"/>
      <c r="AT22" s="119"/>
      <c r="AU22" s="119"/>
      <c r="AV22" s="119"/>
      <c r="AW22" s="119"/>
      <c r="AX22" s="119"/>
      <c r="AY22" s="119"/>
      <c r="AZ22" s="119"/>
      <c r="BA22" s="119"/>
      <c r="BB22" s="119"/>
      <c r="BC22" s="119"/>
      <c r="BD22" s="119"/>
      <c r="BE22" s="119"/>
      <c r="BF22" s="119"/>
      <c r="BG22" s="119"/>
      <c r="BH22" s="119"/>
      <c r="BI22" s="119"/>
      <c r="BJ22" s="119"/>
      <c r="BK22" s="119"/>
      <c r="BL22" s="119"/>
      <c r="BM22" s="119"/>
      <c r="BN22" s="119"/>
      <c r="BO22" s="119"/>
      <c r="BP22" s="119"/>
      <c r="BQ22" s="119"/>
      <c r="BR22" s="119"/>
      <c r="BS22" s="119"/>
      <c r="BT22" s="119"/>
      <c r="BU22" s="119"/>
      <c r="BV22" s="119"/>
      <c r="BW22" s="119"/>
      <c r="BX22" s="119"/>
      <c r="BY22" s="119"/>
      <c r="BZ22" s="119"/>
      <c r="CA22" s="119"/>
    </row>
    <row r="23" spans="1:79" x14ac:dyDescent="0.25">
      <c r="C23" s="121"/>
    </row>
  </sheetData>
  <hyperlinks>
    <hyperlink ref="A18" location="Meny!A1" display="Tilbake til Meny" xr:uid="{C6BD6ABF-F5EF-47A0-A744-E07D62A44E1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AD1C2-C577-4640-9A1C-1FDC5697A9AC}">
  <dimension ref="A1:F15"/>
  <sheetViews>
    <sheetView workbookViewId="0">
      <selection activeCell="B25" sqref="B25"/>
    </sheetView>
  </sheetViews>
  <sheetFormatPr baseColWidth="10" defaultColWidth="11.42578125" defaultRowHeight="15" x14ac:dyDescent="0.25"/>
  <cols>
    <col min="1" max="1" width="44.5703125" bestFit="1" customWidth="1"/>
    <col min="2" max="2" width="19" bestFit="1" customWidth="1"/>
    <col min="3" max="3" width="13.5703125" bestFit="1" customWidth="1"/>
    <col min="4" max="4" width="13.42578125" bestFit="1" customWidth="1"/>
    <col min="5" max="5" width="16.42578125" bestFit="1" customWidth="1"/>
    <col min="6" max="6" width="13.7109375" bestFit="1" customWidth="1"/>
  </cols>
  <sheetData>
    <row r="1" spans="1:6" x14ac:dyDescent="0.25">
      <c r="A1" t="s">
        <v>169</v>
      </c>
      <c r="E1" t="s">
        <v>170</v>
      </c>
      <c r="F1" t="s">
        <v>171</v>
      </c>
    </row>
    <row r="2" spans="1:6" x14ac:dyDescent="0.25">
      <c r="A2" s="44" t="s">
        <v>27</v>
      </c>
    </row>
    <row r="3" spans="1:6" x14ac:dyDescent="0.25">
      <c r="C3" s="207" t="s">
        <v>172</v>
      </c>
      <c r="D3" s="207"/>
    </row>
    <row r="4" spans="1:6" x14ac:dyDescent="0.25">
      <c r="B4" t="s">
        <v>173</v>
      </c>
      <c r="C4" t="s">
        <v>174</v>
      </c>
      <c r="D4" t="s">
        <v>175</v>
      </c>
    </row>
    <row r="5" spans="1:6" x14ac:dyDescent="0.25">
      <c r="A5" s="42" t="s">
        <v>41</v>
      </c>
      <c r="B5" s="47"/>
      <c r="C5" s="24">
        <f>1.8*10^9</f>
        <v>1800000000</v>
      </c>
      <c r="D5" s="24">
        <f>2.3*10^9</f>
        <v>2300000000</v>
      </c>
      <c r="E5" s="75">
        <f>+($C$5*0.7)+($D$5*0.3)</f>
        <v>1950000000</v>
      </c>
      <c r="F5" s="75">
        <f>+($C$5*0.5)+($D$5*0.5)</f>
        <v>2050000000</v>
      </c>
    </row>
    <row r="6" spans="1:6" s="81" customFormat="1" x14ac:dyDescent="0.25">
      <c r="A6" s="47"/>
      <c r="B6" s="47"/>
      <c r="C6" s="79"/>
      <c r="D6" s="79"/>
      <c r="E6" s="80"/>
      <c r="F6" s="80"/>
    </row>
    <row r="7" spans="1:6" s="81" customFormat="1" x14ac:dyDescent="0.25">
      <c r="A7" s="47"/>
      <c r="B7" s="47"/>
      <c r="C7" t="s">
        <v>176</v>
      </c>
      <c r="D7" t="s">
        <v>177</v>
      </c>
      <c r="E7" s="80"/>
      <c r="F7" s="80"/>
    </row>
    <row r="8" spans="1:6" x14ac:dyDescent="0.25">
      <c r="A8" s="42" t="s">
        <v>39</v>
      </c>
      <c r="B8" s="24">
        <f>6.2*10^9</f>
        <v>6200000000</v>
      </c>
      <c r="C8" s="24">
        <f>+B8*1.005</f>
        <v>6230999999.999999</v>
      </c>
      <c r="D8" s="24">
        <f>+C8*1.01</f>
        <v>6293309999.999999</v>
      </c>
    </row>
    <row r="9" spans="1:6" x14ac:dyDescent="0.25">
      <c r="A9" s="42" t="s">
        <v>40</v>
      </c>
      <c r="B9" s="24">
        <f>7*10^9</f>
        <v>7000000000</v>
      </c>
      <c r="C9" s="24">
        <f>+B9*1.005</f>
        <v>7034999999.999999</v>
      </c>
      <c r="D9" s="24">
        <f>+C9*1.01</f>
        <v>7105349999.999999</v>
      </c>
    </row>
    <row r="10" spans="1:6" x14ac:dyDescent="0.25">
      <c r="C10" s="24"/>
      <c r="D10" s="24"/>
    </row>
    <row r="11" spans="1:6" x14ac:dyDescent="0.25">
      <c r="C11" s="24"/>
      <c r="D11" s="24"/>
    </row>
    <row r="12" spans="1:6" x14ac:dyDescent="0.25">
      <c r="C12" s="24"/>
      <c r="D12" s="24"/>
    </row>
    <row r="13" spans="1:6" x14ac:dyDescent="0.25">
      <c r="A13" s="44" t="s">
        <v>26</v>
      </c>
      <c r="C13" s="24"/>
      <c r="D13" s="24"/>
    </row>
    <row r="14" spans="1:6" x14ac:dyDescent="0.25">
      <c r="C14" s="24"/>
      <c r="D14" s="24"/>
    </row>
    <row r="15" spans="1:6" x14ac:dyDescent="0.25">
      <c r="A15" s="42" t="s">
        <v>39</v>
      </c>
      <c r="B15" s="24">
        <f>8.5*10^9</f>
        <v>8500000000</v>
      </c>
      <c r="C15" s="24">
        <f>+B15*1.005</f>
        <v>8542499999.999999</v>
      </c>
      <c r="D15" s="24">
        <f>+C15*1.01</f>
        <v>8627925000</v>
      </c>
    </row>
  </sheetData>
  <mergeCells count="1">
    <mergeCell ref="C3:D3"/>
  </mergeCells>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FC370-196F-40D7-B893-3CDE30E054D1}">
  <dimension ref="A1:C21"/>
  <sheetViews>
    <sheetView workbookViewId="0">
      <selection activeCell="C2" sqref="C2"/>
    </sheetView>
  </sheetViews>
  <sheetFormatPr baseColWidth="10" defaultColWidth="11.42578125" defaultRowHeight="15" x14ac:dyDescent="0.25"/>
  <cols>
    <col min="1" max="1" width="5.5703125" customWidth="1"/>
    <col min="2" max="2" width="120.140625" customWidth="1"/>
    <col min="3" max="3" width="15.140625" bestFit="1" customWidth="1"/>
  </cols>
  <sheetData>
    <row r="1" spans="1:3" ht="15.75" thickBot="1" x14ac:dyDescent="0.3"/>
    <row r="2" spans="1:3" ht="15.75" thickBot="1" x14ac:dyDescent="0.3">
      <c r="C2" s="122" t="s">
        <v>32</v>
      </c>
    </row>
    <row r="3" spans="1:3" ht="15.75" x14ac:dyDescent="0.25">
      <c r="A3" s="208" t="s">
        <v>178</v>
      </c>
      <c r="B3" s="208"/>
    </row>
    <row r="4" spans="1:3" x14ac:dyDescent="0.25">
      <c r="A4" s="67">
        <v>1</v>
      </c>
      <c r="B4" s="67" t="s">
        <v>179</v>
      </c>
    </row>
    <row r="5" spans="1:3" ht="45" x14ac:dyDescent="0.25">
      <c r="A5" s="67">
        <v>2</v>
      </c>
      <c r="B5" s="68" t="s">
        <v>180</v>
      </c>
    </row>
    <row r="6" spans="1:3" ht="30" x14ac:dyDescent="0.25">
      <c r="A6" s="87">
        <v>3</v>
      </c>
      <c r="B6" s="68" t="s">
        <v>181</v>
      </c>
    </row>
    <row r="7" spans="1:3" x14ac:dyDescent="0.25">
      <c r="A7" s="71">
        <v>4</v>
      </c>
      <c r="B7" s="86" t="s">
        <v>182</v>
      </c>
    </row>
    <row r="8" spans="1:3" ht="30" x14ac:dyDescent="0.25">
      <c r="A8" s="72"/>
      <c r="B8" s="73" t="s">
        <v>183</v>
      </c>
    </row>
    <row r="9" spans="1:3" x14ac:dyDescent="0.25">
      <c r="A9" s="72"/>
      <c r="B9" s="73" t="s">
        <v>184</v>
      </c>
    </row>
    <row r="10" spans="1:3" x14ac:dyDescent="0.25">
      <c r="A10" s="77"/>
      <c r="B10" s="69" t="s">
        <v>185</v>
      </c>
    </row>
    <row r="11" spans="1:3" x14ac:dyDescent="0.25">
      <c r="A11" s="70">
        <v>5</v>
      </c>
      <c r="B11" s="67" t="s">
        <v>186</v>
      </c>
    </row>
    <row r="12" spans="1:3" ht="45" x14ac:dyDescent="0.25">
      <c r="A12" s="70">
        <v>6</v>
      </c>
      <c r="B12" s="68" t="s">
        <v>187</v>
      </c>
    </row>
    <row r="13" spans="1:3" x14ac:dyDescent="0.25">
      <c r="A13" s="70">
        <v>7</v>
      </c>
      <c r="B13" s="68" t="s">
        <v>188</v>
      </c>
    </row>
    <row r="14" spans="1:3" ht="30" x14ac:dyDescent="0.25">
      <c r="A14" s="70">
        <v>8</v>
      </c>
      <c r="B14" s="68" t="s">
        <v>189</v>
      </c>
    </row>
    <row r="18" spans="2:2" x14ac:dyDescent="0.25">
      <c r="B18" s="1" t="s">
        <v>190</v>
      </c>
    </row>
    <row r="19" spans="2:2" x14ac:dyDescent="0.25">
      <c r="B19" s="78" t="s">
        <v>1</v>
      </c>
    </row>
    <row r="20" spans="2:2" x14ac:dyDescent="0.25">
      <c r="B20" s="78" t="s">
        <v>2</v>
      </c>
    </row>
    <row r="21" spans="2:2" x14ac:dyDescent="0.25">
      <c r="B21" s="78" t="s">
        <v>9</v>
      </c>
    </row>
  </sheetData>
  <mergeCells count="1">
    <mergeCell ref="A3:B3"/>
  </mergeCells>
  <hyperlinks>
    <hyperlink ref="B20" location="'NNV- Elektrifisering av Melkøya'!A1" display="NNV- Elektrifisering av Melkøya" xr:uid="{93740D22-1890-43F4-B9B1-FAB7E37EE678}"/>
    <hyperlink ref="B19" location="'Netto nåverdier oppsummering'!A1" display="Netto nåverdier oppsummering" xr:uid="{99C42DC4-B6B7-48FD-8A3B-DA7115C5F0C8}"/>
    <hyperlink ref="B21" location="'NNV- nullalternativ'!A1" display="NNV- nullalternativ" xr:uid="{08349AAB-CB06-4489-88D6-7C669D512EF1}"/>
    <hyperlink ref="C2" location="Meny!A1" display="Tilbake til Meny" xr:uid="{8123F205-3E08-487A-9D26-B3B4BC4BA07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D49E-B2CF-49DF-85B7-889B64AD7A66}">
  <dimension ref="A1:L592"/>
  <sheetViews>
    <sheetView showGridLines="0" workbookViewId="0">
      <selection activeCell="G7" sqref="G7"/>
    </sheetView>
  </sheetViews>
  <sheetFormatPr baseColWidth="10" defaultColWidth="11.42578125" defaultRowHeight="15" x14ac:dyDescent="0.25"/>
  <cols>
    <col min="1" max="1" width="3.85546875" customWidth="1"/>
    <col min="2" max="2" width="37.42578125" customWidth="1"/>
    <col min="3" max="4" width="24.140625" bestFit="1" customWidth="1"/>
    <col min="5" max="5" width="24.140625" style="81" customWidth="1"/>
    <col min="6" max="6" width="17.42578125" bestFit="1" customWidth="1"/>
    <col min="7" max="7" width="18.140625" bestFit="1" customWidth="1"/>
    <col min="8" max="8" width="24.140625" bestFit="1" customWidth="1"/>
    <col min="9" max="9" width="15.5703125" bestFit="1" customWidth="1"/>
    <col min="10" max="10" width="24.140625" bestFit="1" customWidth="1"/>
    <col min="11" max="11" width="13" bestFit="1" customWidth="1"/>
    <col min="12" max="12" width="37.7109375" bestFit="1" customWidth="1"/>
    <col min="13" max="13" width="14" bestFit="1" customWidth="1"/>
    <col min="14" max="14" width="78.28515625" bestFit="1" customWidth="1"/>
  </cols>
  <sheetData>
    <row r="1" spans="2:8" ht="18.75" x14ac:dyDescent="0.3">
      <c r="B1" s="33" t="s">
        <v>1</v>
      </c>
      <c r="G1" s="145" t="s">
        <v>10</v>
      </c>
      <c r="H1" s="146"/>
    </row>
    <row r="2" spans="2:8" x14ac:dyDescent="0.25">
      <c r="B2" s="165"/>
      <c r="C2" s="165" t="s">
        <v>24</v>
      </c>
      <c r="D2" s="165"/>
      <c r="E2" s="110"/>
      <c r="G2" s="166" t="s">
        <v>25</v>
      </c>
      <c r="H2" s="166"/>
    </row>
    <row r="3" spans="2:8" x14ac:dyDescent="0.25">
      <c r="B3" s="165"/>
      <c r="C3" s="63" t="s">
        <v>26</v>
      </c>
      <c r="D3" s="63" t="s">
        <v>27</v>
      </c>
      <c r="E3" s="110"/>
      <c r="G3" s="166" t="s">
        <v>28</v>
      </c>
      <c r="H3" s="166"/>
    </row>
    <row r="4" spans="2:8" x14ac:dyDescent="0.25">
      <c r="B4" s="44" t="s">
        <v>29</v>
      </c>
      <c r="C4" s="65">
        <f>+'NNV- nullalternativ'!C19</f>
        <v>53381150334.611473</v>
      </c>
      <c r="D4" s="65">
        <f>+'NNV- Elektrifisering av Melkøya'!$C$26</f>
        <v>50482279376.846725</v>
      </c>
      <c r="E4" s="79"/>
      <c r="G4" s="166" t="s">
        <v>30</v>
      </c>
      <c r="H4" s="166"/>
    </row>
    <row r="6" spans="2:8" ht="15.75" thickBot="1" x14ac:dyDescent="0.3">
      <c r="G6" s="123"/>
    </row>
    <row r="7" spans="2:8" ht="15.75" thickBot="1" x14ac:dyDescent="0.3">
      <c r="C7" s="160" t="s">
        <v>31</v>
      </c>
      <c r="D7" s="161"/>
      <c r="E7" s="110"/>
      <c r="G7" s="122" t="s">
        <v>32</v>
      </c>
    </row>
    <row r="8" spans="2:8" x14ac:dyDescent="0.25">
      <c r="C8" s="63" t="s">
        <v>26</v>
      </c>
      <c r="D8" s="63" t="s">
        <v>27</v>
      </c>
      <c r="E8" s="110"/>
    </row>
    <row r="9" spans="2:8" x14ac:dyDescent="0.25">
      <c r="B9" s="42" t="s">
        <v>33</v>
      </c>
      <c r="C9" s="83">
        <v>14</v>
      </c>
      <c r="D9" s="83">
        <v>14</v>
      </c>
      <c r="E9" s="110"/>
    </row>
    <row r="10" spans="2:8" x14ac:dyDescent="0.25">
      <c r="B10" s="42" t="s">
        <v>34</v>
      </c>
      <c r="C10" s="65">
        <f>NPV('NNV- nullalternativ'!$B$3,'NNV- nullalternativ'!$D$14:$Q$14)</f>
        <v>-21213850062.612831</v>
      </c>
      <c r="D10" s="65">
        <f>NPV('NNV- Elektrifisering av Melkøya'!$B$3,'NNV- Elektrifisering av Melkøya'!$D$14:$Q$14)</f>
        <v>-1177788206.6342149</v>
      </c>
      <c r="E10" s="79"/>
    </row>
    <row r="11" spans="2:8" x14ac:dyDescent="0.25">
      <c r="B11" s="42" t="s">
        <v>35</v>
      </c>
      <c r="D11" s="65">
        <f>NPV('NNV- Elektrifisering av Melkøya'!$B$3,'NNV- Elektrifisering av Melkøya'!$D$15:$Q$15)</f>
        <v>20036061855.978615</v>
      </c>
      <c r="E11" s="79"/>
      <c r="G11" s="90"/>
    </row>
    <row r="12" spans="2:8" x14ac:dyDescent="0.25">
      <c r="B12" s="42" t="s">
        <v>36</v>
      </c>
      <c r="C12" s="65">
        <f>NPV('NNV- nullalternativ'!$B$3,'NNV- nullalternativ'!$D$15:$Q$15)</f>
        <v>83095000397.224274</v>
      </c>
      <c r="D12" s="65">
        <f>NPV('NNV- Elektrifisering av Melkøya'!$B$3,'NNV- Elektrifisering av Melkøya'!$D$16:$Q$16)</f>
        <v>83095000397.224274</v>
      </c>
      <c r="E12" s="79"/>
    </row>
    <row r="13" spans="2:8" x14ac:dyDescent="0.25">
      <c r="B13" s="42" t="s">
        <v>37</v>
      </c>
      <c r="C13" s="3"/>
      <c r="D13" s="65">
        <f>--NPV('NNV- Elektrifisering av Melkøya'!$B$3,'NNV- Elektrifisering av Melkøya'!$D$17:$Q$17)</f>
        <v>-13571320993.067627</v>
      </c>
      <c r="E13" s="79"/>
      <c r="G13" s="90"/>
    </row>
    <row r="14" spans="2:8" x14ac:dyDescent="0.25">
      <c r="B14" s="42" t="s">
        <v>38</v>
      </c>
      <c r="C14" s="3"/>
      <c r="D14" s="65">
        <f>NPV('NNV- Elektrifisering av Melkøya'!$B$3,'NNV- Elektrifisering av Melkøya'!$D$18:$Q$18)</f>
        <v>-24168425262.592682</v>
      </c>
      <c r="E14" s="79"/>
    </row>
    <row r="15" spans="2:8" x14ac:dyDescent="0.25">
      <c r="B15" s="42" t="s">
        <v>39</v>
      </c>
      <c r="C15" s="65">
        <f>+'NNV- nullalternativ'!$C$16</f>
        <v>-8500000000</v>
      </c>
      <c r="D15" s="65">
        <f>'NNV- Elektrifisering av Melkøya'!$C$19</f>
        <v>-8500000000</v>
      </c>
      <c r="E15" s="79"/>
    </row>
    <row r="16" spans="2:8" x14ac:dyDescent="0.25">
      <c r="B16" s="42" t="s">
        <v>40</v>
      </c>
      <c r="C16" s="3"/>
      <c r="D16" s="65">
        <f>'NNV- Elektrifisering av Melkøya'!$C$20</f>
        <v>-4700000000</v>
      </c>
      <c r="E16" s="79"/>
    </row>
    <row r="17" spans="1:10" x14ac:dyDescent="0.25">
      <c r="B17" s="42" t="s">
        <v>41</v>
      </c>
      <c r="C17" s="3"/>
      <c r="D17" s="65">
        <f>+'NNV- Elektrifisering av Melkøya'!$C$21</f>
        <v>-3100000000</v>
      </c>
      <c r="E17" s="79"/>
    </row>
    <row r="18" spans="1:10" x14ac:dyDescent="0.25">
      <c r="B18" s="62" t="s">
        <v>42</v>
      </c>
      <c r="C18" s="3"/>
      <c r="D18" s="65">
        <v>-500000000</v>
      </c>
      <c r="E18" s="79"/>
    </row>
    <row r="19" spans="1:10" x14ac:dyDescent="0.25">
      <c r="B19" s="62" t="s">
        <v>43</v>
      </c>
      <c r="C19" s="3"/>
      <c r="D19" s="65">
        <f>+'NNV- Elektrifisering av Melkøya'!$R$24/(1+'NNV- Elektrifisering av Melkøya'!$B$3)^15</f>
        <v>3068751585.9383249</v>
      </c>
      <c r="E19" s="79"/>
    </row>
    <row r="20" spans="1:10" x14ac:dyDescent="0.25">
      <c r="B20" s="48" t="s">
        <v>44</v>
      </c>
      <c r="C20" s="82">
        <f>SUM($C$10:$C$18)</f>
        <v>53381150334.611443</v>
      </c>
      <c r="D20" s="82">
        <f>SUM($D$10:$D$19)</f>
        <v>50482279376.84668</v>
      </c>
      <c r="E20" s="109"/>
      <c r="F20" s="24"/>
    </row>
    <row r="23" spans="1:10" ht="19.5" thickBot="1" x14ac:dyDescent="0.35">
      <c r="B23" s="33" t="s">
        <v>10</v>
      </c>
    </row>
    <row r="24" spans="1:10" ht="15.75" thickBot="1" x14ac:dyDescent="0.3">
      <c r="A24" s="118" t="s">
        <v>45</v>
      </c>
      <c r="B24" s="117" t="s">
        <v>46</v>
      </c>
    </row>
    <row r="25" spans="1:10" ht="21" x14ac:dyDescent="0.35">
      <c r="B25" s="30"/>
      <c r="G25" s="162" t="s">
        <v>47</v>
      </c>
      <c r="H25" s="162"/>
      <c r="I25" s="162"/>
      <c r="J25" s="162"/>
    </row>
    <row r="26" spans="1:10" x14ac:dyDescent="0.25">
      <c r="C26" s="164" t="s">
        <v>48</v>
      </c>
      <c r="D26" s="164"/>
      <c r="G26" s="163">
        <v>0.05</v>
      </c>
      <c r="H26" s="163"/>
      <c r="I26" s="163">
        <v>0.1</v>
      </c>
      <c r="J26" s="163"/>
    </row>
    <row r="27" spans="1:10" x14ac:dyDescent="0.25">
      <c r="C27" s="160" t="s">
        <v>31</v>
      </c>
      <c r="D27" s="161"/>
      <c r="E27" s="110"/>
      <c r="G27" s="160" t="s">
        <v>31</v>
      </c>
      <c r="H27" s="161"/>
      <c r="I27" s="160" t="s">
        <v>31</v>
      </c>
      <c r="J27" s="161"/>
    </row>
    <row r="28" spans="1:10" x14ac:dyDescent="0.25">
      <c r="C28" s="115" t="s">
        <v>26</v>
      </c>
      <c r="D28" s="115" t="s">
        <v>27</v>
      </c>
      <c r="E28" s="110"/>
      <c r="G28" s="63" t="s">
        <v>26</v>
      </c>
      <c r="H28" s="63" t="s">
        <v>27</v>
      </c>
      <c r="I28" s="63" t="s">
        <v>26</v>
      </c>
      <c r="J28" s="63" t="s">
        <v>27</v>
      </c>
    </row>
    <row r="29" spans="1:10" x14ac:dyDescent="0.25">
      <c r="B29" s="42" t="s">
        <v>33</v>
      </c>
      <c r="C29" s="83">
        <v>14</v>
      </c>
      <c r="D29" s="83">
        <v>14</v>
      </c>
      <c r="E29" s="147"/>
      <c r="F29" s="148"/>
      <c r="G29" s="3">
        <v>14</v>
      </c>
      <c r="H29" s="3">
        <v>14</v>
      </c>
      <c r="I29">
        <v>14</v>
      </c>
      <c r="J29">
        <v>14</v>
      </c>
    </row>
    <row r="30" spans="1:10" x14ac:dyDescent="0.25">
      <c r="B30" s="42" t="s">
        <v>34</v>
      </c>
      <c r="C30" s="65">
        <f>NPV('NNV- nullalternativ'!$B$3,'NNV- nullalternativ'!$D$14:$Q$14)</f>
        <v>-21213850062.612831</v>
      </c>
      <c r="D30" s="65">
        <f>NPV('NNV- Elektrifisering av Melkøya'!$B$3,'NNV- Elektrifisering av Melkøya'!$D$14:$Q$14)</f>
        <v>-1177788206.6342149</v>
      </c>
      <c r="E30" s="151"/>
      <c r="F30" s="152"/>
      <c r="G30" s="65">
        <f>NPV('NNV- nullalternativ'!$B$3,'NNV- nullalternativ'!$D$14:$Q$14)</f>
        <v>-21213850062.612831</v>
      </c>
      <c r="H30" s="65">
        <f>NPV('NNV- Elektrifisering av Melkøya'!$B$3,'NNV- Elektrifisering av Melkøya'!$D$14:$Q$14)</f>
        <v>-1177788206.6342149</v>
      </c>
      <c r="I30" s="65">
        <f>NPV('NNV- nullalternativ'!$B$3,'NNV- nullalternativ'!$D$14:$Q$14)</f>
        <v>-21213850062.612831</v>
      </c>
      <c r="J30" s="65">
        <f>NPV('NNV- Elektrifisering av Melkøya'!$B$3,'NNV- Elektrifisering av Melkøya'!$D$14:$Q$14)</f>
        <v>-1177788206.6342149</v>
      </c>
    </row>
    <row r="31" spans="1:10" x14ac:dyDescent="0.25">
      <c r="B31" s="42" t="s">
        <v>35</v>
      </c>
      <c r="C31" s="3"/>
      <c r="D31" s="65">
        <f>NPV('NNV- Elektrifisering av Melkøya'!$B$3,'NNV- Elektrifisering av Melkøya'!$D$15:$Q$15)</f>
        <v>20036061855.978615</v>
      </c>
      <c r="E31" s="151"/>
      <c r="F31" s="152"/>
      <c r="G31" s="3"/>
      <c r="H31" s="65">
        <f>NPV('NNV- Elektrifisering av Melkøya'!$B$3,'NNV- Elektrifisering av Melkøya'!$D$15:$Q$15)</f>
        <v>20036061855.978615</v>
      </c>
      <c r="J31" s="65">
        <f>NPV('NNV- Elektrifisering av Melkøya'!$B$3,'NNV- Elektrifisering av Melkøya'!$D$15:$Q$15)</f>
        <v>20036061855.978615</v>
      </c>
    </row>
    <row r="32" spans="1:10" x14ac:dyDescent="0.25">
      <c r="B32" s="42" t="s">
        <v>36</v>
      </c>
      <c r="C32" s="65">
        <f>NPV('NNV- nullalternativ'!$B$3,'NNV- nullalternativ'!$D$15:$Q$15)</f>
        <v>83095000397.224274</v>
      </c>
      <c r="D32" s="65">
        <f>NPV('NNV- Elektrifisering av Melkøya'!$B$3,'NNV- Elektrifisering av Melkøya'!$D$16:$Q$16)</f>
        <v>83095000397.224274</v>
      </c>
      <c r="E32" s="151"/>
      <c r="F32" s="152"/>
      <c r="G32" s="65">
        <f>NPV('NNV- nullalternativ'!$B$3,'NNV- nullalternativ'!$D$15:$Q$15)</f>
        <v>83095000397.224274</v>
      </c>
      <c r="H32" s="65">
        <f>NPV('NNV- Elektrifisering av Melkøya'!$B$3,'NNV- Elektrifisering av Melkøya'!$D$16:$Q$16)</f>
        <v>83095000397.224274</v>
      </c>
      <c r="I32" s="65">
        <f>NPV('NNV- nullalternativ'!$B$3,'NNV- nullalternativ'!$D$15:$Q$15)</f>
        <v>83095000397.224274</v>
      </c>
      <c r="J32" s="65">
        <f>NPV('NNV- Elektrifisering av Melkøya'!$B$3,'NNV- Elektrifisering av Melkøya'!$D$16:$Q$16)</f>
        <v>83095000397.224274</v>
      </c>
    </row>
    <row r="33" spans="1:12" x14ac:dyDescent="0.25">
      <c r="B33" s="106" t="s">
        <v>37</v>
      </c>
      <c r="C33" s="107"/>
      <c r="D33" s="108">
        <f>--NPV('NNV- Elektrifisering av Melkøya'!$B$3,'NNV- Elektrifisering av Melkøya'!$D$17:$Q$17)</f>
        <v>-13571320993.067627</v>
      </c>
      <c r="E33" s="151"/>
      <c r="F33" s="152"/>
      <c r="G33" s="107"/>
      <c r="H33" s="108">
        <f>--NPV('NNV- Elektrifisering av Melkøya'!$B$3,'NNV- Elektrifisering av Melkøya'!$D$17:$Q$17)</f>
        <v>-13571320993.067627</v>
      </c>
      <c r="I33" s="107"/>
      <c r="J33" s="108">
        <f>--NPV('NNV- Elektrifisering av Melkøya'!$B$3,'NNV- Elektrifisering av Melkøya'!$D$17:$Q$17)</f>
        <v>-13571320993.067627</v>
      </c>
    </row>
    <row r="34" spans="1:12" x14ac:dyDescent="0.25">
      <c r="B34" s="103" t="s">
        <v>38</v>
      </c>
      <c r="C34" s="104"/>
      <c r="D34" s="105">
        <f>NPV('NNV- Elektrifisering av Melkøya'!$B$3,'NNV- Elektrifisering av Melkøya'!$D$18:$Q$18)</f>
        <v>-24168425262.592682</v>
      </c>
      <c r="E34" s="149"/>
      <c r="F34" s="150"/>
      <c r="G34" s="104"/>
      <c r="H34" s="105">
        <f>NPV('NNV- Elektrifisering av Melkøya'!$B$3,'NNV- Elektrifisering av Melkøya'!$D$18:$Q$18)*1.05</f>
        <v>-25376846525.722317</v>
      </c>
      <c r="I34" s="104"/>
      <c r="J34" s="105">
        <f>NPV('NNV- Elektrifisering av Melkøya'!$B$3,'NNV- Elektrifisering av Melkøya'!$D$18:$Q$18)*1.1</f>
        <v>-26585267788.851952</v>
      </c>
      <c r="K34" s="24"/>
      <c r="L34" s="24"/>
    </row>
    <row r="35" spans="1:12" x14ac:dyDescent="0.25">
      <c r="B35" s="42" t="s">
        <v>39</v>
      </c>
      <c r="C35" s="65">
        <f>+'NNV- nullalternativ'!$C$16</f>
        <v>-8500000000</v>
      </c>
      <c r="D35" s="65">
        <f>'NNV- Elektrifisering av Melkøya'!$C$19</f>
        <v>-8500000000</v>
      </c>
      <c r="E35" s="151"/>
      <c r="F35" s="152"/>
      <c r="G35" s="65">
        <f>+'NNV- nullalternativ'!$C$16</f>
        <v>-8500000000</v>
      </c>
      <c r="H35" s="65">
        <f>'NNV- Elektrifisering av Melkøya'!$C$19</f>
        <v>-8500000000</v>
      </c>
      <c r="I35" s="65">
        <f>+'NNV- nullalternativ'!$C$16</f>
        <v>-8500000000</v>
      </c>
      <c r="J35" s="65">
        <f>'NNV- Elektrifisering av Melkøya'!$C$19</f>
        <v>-8500000000</v>
      </c>
    </row>
    <row r="36" spans="1:12" x14ac:dyDescent="0.25">
      <c r="B36" s="42" t="s">
        <v>40</v>
      </c>
      <c r="C36" s="3"/>
      <c r="D36" s="65">
        <f>'NNV- Elektrifisering av Melkøya'!$C$20</f>
        <v>-4700000000</v>
      </c>
      <c r="E36" s="151"/>
      <c r="F36" s="152"/>
      <c r="G36" s="3"/>
      <c r="H36" s="65">
        <f>'NNV- Elektrifisering av Melkøya'!$C$20</f>
        <v>-4700000000</v>
      </c>
      <c r="I36" s="3"/>
      <c r="J36" s="65">
        <f>'NNV- Elektrifisering av Melkøya'!$C$20</f>
        <v>-4700000000</v>
      </c>
    </row>
    <row r="37" spans="1:12" x14ac:dyDescent="0.25">
      <c r="B37" s="42" t="s">
        <v>41</v>
      </c>
      <c r="C37" s="3"/>
      <c r="D37" s="65">
        <f>+'NNV- Elektrifisering av Melkøya'!$C$21</f>
        <v>-3100000000</v>
      </c>
      <c r="E37" s="151"/>
      <c r="F37" s="152"/>
      <c r="G37" s="3"/>
      <c r="H37" s="65">
        <f>+'NNV- Elektrifisering av Melkøya'!$C$21</f>
        <v>-3100000000</v>
      </c>
      <c r="I37" s="3"/>
      <c r="J37" s="65">
        <f>+'NNV- Elektrifisering av Melkøya'!$C$21</f>
        <v>-3100000000</v>
      </c>
    </row>
    <row r="38" spans="1:12" x14ac:dyDescent="0.25">
      <c r="B38" s="42" t="s">
        <v>42</v>
      </c>
      <c r="C38" s="3"/>
      <c r="D38" s="65">
        <v>-500000000</v>
      </c>
      <c r="E38" s="151"/>
      <c r="F38" s="152"/>
      <c r="G38" s="101"/>
      <c r="H38" s="102">
        <v>-500000000</v>
      </c>
      <c r="I38" s="3"/>
      <c r="J38" s="65">
        <v>-500000000</v>
      </c>
    </row>
    <row r="39" spans="1:12" x14ac:dyDescent="0.25">
      <c r="B39" s="42" t="s">
        <v>43</v>
      </c>
      <c r="C39" s="3"/>
      <c r="D39" s="65">
        <f>+'NNV- Elektrifisering av Melkøya'!$R$24/(1+'NNV- Elektrifisering av Melkøya'!$B$3)^15</f>
        <v>3068751585.9383249</v>
      </c>
      <c r="E39" s="151"/>
      <c r="F39" s="152"/>
      <c r="G39" s="101"/>
      <c r="H39" s="102">
        <f>+'NNV- Elektrifisering av Melkøya'!$R$24/(1+'NNV- Elektrifisering av Melkøya'!$B$3)^15</f>
        <v>3068751585.9383249</v>
      </c>
      <c r="I39" s="3"/>
      <c r="J39" s="65">
        <f>+'NNV- Elektrifisering av Melkøya'!$R$24/(1+'NNV- Elektrifisering av Melkøya'!$B$3)^15</f>
        <v>3068751585.9383249</v>
      </c>
    </row>
    <row r="40" spans="1:12" x14ac:dyDescent="0.25">
      <c r="B40" s="48" t="s">
        <v>44</v>
      </c>
      <c r="C40" s="82">
        <f>SUM(C30:C39)</f>
        <v>53381150334.611443</v>
      </c>
      <c r="D40" s="82">
        <f>SUM(D30:D39)</f>
        <v>50482279376.84668</v>
      </c>
      <c r="E40" s="158"/>
      <c r="F40" s="159"/>
      <c r="G40" s="82">
        <f>+C30+C32+G35</f>
        <v>53381150334.611443</v>
      </c>
      <c r="H40" s="82">
        <f>SUM(H30:H39)</f>
        <v>49273858113.717041</v>
      </c>
      <c r="I40" s="82">
        <f>SUM(I30:I39)</f>
        <v>53381150334.611443</v>
      </c>
      <c r="J40" s="82">
        <f>SUM(J30:J39)</f>
        <v>48065436850.58741</v>
      </c>
    </row>
    <row r="42" spans="1:12" x14ac:dyDescent="0.25">
      <c r="B42" s="31" t="s">
        <v>49</v>
      </c>
      <c r="C42" s="31"/>
      <c r="D42" s="31"/>
      <c r="E42" s="31"/>
      <c r="F42" s="31"/>
      <c r="G42" s="32"/>
      <c r="H42" s="32">
        <f>H40-D40</f>
        <v>-1208421263.1296387</v>
      </c>
      <c r="I42" s="32"/>
      <c r="J42" s="32">
        <f>+J40-D40</f>
        <v>-2416842526.2592697</v>
      </c>
    </row>
    <row r="44" spans="1:12" s="1" customFormat="1" x14ac:dyDescent="0.25">
      <c r="B44" s="31" t="s">
        <v>50</v>
      </c>
      <c r="C44" s="31"/>
      <c r="D44" s="32">
        <f>+D40-C40</f>
        <v>-2898870957.7647629</v>
      </c>
      <c r="E44" s="31"/>
      <c r="F44" s="31"/>
      <c r="G44" s="31"/>
      <c r="H44" s="32">
        <f>+H40-G40</f>
        <v>-4107292220.8944016</v>
      </c>
      <c r="I44" s="31"/>
      <c r="J44" s="32">
        <f>+J40-I40</f>
        <v>-5315713484.0240326</v>
      </c>
    </row>
    <row r="45" spans="1:12" s="51" customFormat="1" x14ac:dyDescent="0.25">
      <c r="D45" s="109"/>
      <c r="E45" s="109"/>
      <c r="H45" s="109"/>
      <c r="J45" s="109"/>
    </row>
    <row r="46" spans="1:12" s="51" customFormat="1" x14ac:dyDescent="0.25">
      <c r="D46" s="109"/>
      <c r="E46" s="109"/>
      <c r="H46" s="109" t="s">
        <v>51</v>
      </c>
      <c r="J46" s="109"/>
    </row>
    <row r="47" spans="1:12" ht="15.75" thickBot="1" x14ac:dyDescent="0.3"/>
    <row r="48" spans="1:12" ht="15.75" thickBot="1" x14ac:dyDescent="0.3">
      <c r="A48" s="118" t="s">
        <v>52</v>
      </c>
      <c r="B48" s="117" t="s">
        <v>53</v>
      </c>
    </row>
    <row r="49" spans="2:10" ht="21" x14ac:dyDescent="0.35">
      <c r="B49" s="30"/>
      <c r="G49" s="162" t="s">
        <v>54</v>
      </c>
      <c r="H49" s="162"/>
      <c r="I49" s="162"/>
      <c r="J49" s="162"/>
    </row>
    <row r="50" spans="2:10" x14ac:dyDescent="0.25">
      <c r="C50" s="164" t="s">
        <v>48</v>
      </c>
      <c r="D50" s="164"/>
      <c r="G50" s="163">
        <v>0.05</v>
      </c>
      <c r="H50" s="163"/>
      <c r="I50" s="163">
        <v>0.1</v>
      </c>
      <c r="J50" s="163"/>
    </row>
    <row r="51" spans="2:10" x14ac:dyDescent="0.25">
      <c r="C51" s="160" t="s">
        <v>31</v>
      </c>
      <c r="D51" s="161"/>
      <c r="E51" s="110"/>
      <c r="G51" s="160" t="s">
        <v>31</v>
      </c>
      <c r="H51" s="161"/>
      <c r="I51" s="160" t="s">
        <v>31</v>
      </c>
      <c r="J51" s="161"/>
    </row>
    <row r="52" spans="2:10" x14ac:dyDescent="0.25">
      <c r="C52" s="115" t="s">
        <v>26</v>
      </c>
      <c r="D52" s="115" t="s">
        <v>27</v>
      </c>
      <c r="E52" s="110"/>
      <c r="G52" s="115" t="s">
        <v>26</v>
      </c>
      <c r="H52" s="115" t="s">
        <v>27</v>
      </c>
      <c r="I52" s="115" t="s">
        <v>26</v>
      </c>
      <c r="J52" s="115" t="s">
        <v>27</v>
      </c>
    </row>
    <row r="53" spans="2:10" x14ac:dyDescent="0.25">
      <c r="B53" s="42" t="s">
        <v>33</v>
      </c>
      <c r="C53" s="83">
        <v>14</v>
      </c>
      <c r="D53" s="83">
        <v>14</v>
      </c>
      <c r="E53" s="147"/>
      <c r="F53" s="148"/>
      <c r="G53" s="3">
        <v>14</v>
      </c>
      <c r="H53" s="3">
        <v>14</v>
      </c>
      <c r="I53" s="3">
        <v>14</v>
      </c>
      <c r="J53" s="3">
        <v>14</v>
      </c>
    </row>
    <row r="54" spans="2:10" x14ac:dyDescent="0.25">
      <c r="B54" s="42" t="s">
        <v>34</v>
      </c>
      <c r="C54" s="65">
        <f>NPV('NNV- nullalternativ'!$B$3,'NNV- nullalternativ'!$D$14:$Q$14)</f>
        <v>-21213850062.612831</v>
      </c>
      <c r="D54" s="65">
        <f>NPV('NNV- Elektrifisering av Melkøya'!$B$3,'NNV- Elektrifisering av Melkøya'!$D$14:$Q$14)</f>
        <v>-1177788206.6342149</v>
      </c>
      <c r="E54" s="147"/>
      <c r="F54" s="148"/>
      <c r="G54" s="65">
        <f>NPV('NNV- nullalternativ'!$B$3,'NNV- nullalternativ'!$D$14:$Q$14)</f>
        <v>-21213850062.612831</v>
      </c>
      <c r="H54" s="65">
        <f>NPV('NNV- Elektrifisering av Melkøya'!$B$3,'NNV- Elektrifisering av Melkøya'!$D$14:$Q$14)</f>
        <v>-1177788206.6342149</v>
      </c>
      <c r="I54" s="65">
        <f>NPV('NNV- nullalternativ'!$B$3,'NNV- nullalternativ'!$D$14:$Q$14)</f>
        <v>-21213850062.612831</v>
      </c>
      <c r="J54" s="65">
        <f>NPV('NNV- Elektrifisering av Melkøya'!$B$3,'NNV- Elektrifisering av Melkøya'!$D$14:$Q$14)</f>
        <v>-1177788206.6342149</v>
      </c>
    </row>
    <row r="55" spans="2:10" x14ac:dyDescent="0.25">
      <c r="B55" s="42" t="s">
        <v>35</v>
      </c>
      <c r="C55" s="3"/>
      <c r="D55" s="65">
        <f>NPV('NNV- Elektrifisering av Melkøya'!$B$3,'NNV- Elektrifisering av Melkøya'!$D$15:$Q$15)</f>
        <v>20036061855.978615</v>
      </c>
      <c r="E55" s="147"/>
      <c r="F55" s="148"/>
      <c r="G55" s="3"/>
      <c r="H55" s="65">
        <f>NPV('NNV- Elektrifisering av Melkøya'!$B$3,'NNV- Elektrifisering av Melkøya'!$D$15:$Q$15)</f>
        <v>20036061855.978615</v>
      </c>
      <c r="I55" s="3"/>
      <c r="J55" s="65">
        <f>NPV('NNV- Elektrifisering av Melkøya'!$B$3,'NNV- Elektrifisering av Melkøya'!$D$15:$Q$15)</f>
        <v>20036061855.978615</v>
      </c>
    </row>
    <row r="56" spans="2:10" x14ac:dyDescent="0.25">
      <c r="B56" s="103" t="s">
        <v>36</v>
      </c>
      <c r="C56" s="105">
        <f>NPV('NNV- nullalternativ'!$B$3,'NNV- nullalternativ'!$D$15:$Q$15)</f>
        <v>83095000397.224274</v>
      </c>
      <c r="D56" s="105">
        <f>NPV('NNV- Elektrifisering av Melkøya'!$B$3,'NNV- Elektrifisering av Melkøya'!$D$16:$Q$16)</f>
        <v>83095000397.224274</v>
      </c>
      <c r="E56" s="149"/>
      <c r="F56" s="150"/>
      <c r="G56" s="105">
        <f>NPV('NNV- nullalternativ'!$B$3,'NNV- nullalternativ'!$D$15:$Q$15)*1.05</f>
        <v>87249750417.085495</v>
      </c>
      <c r="H56" s="105">
        <f>NPV('NNV- Elektrifisering av Melkøya'!$B$3,'NNV- Elektrifisering av Melkøya'!$D$16:$Q$16)*1.05</f>
        <v>87249750417.085495</v>
      </c>
      <c r="I56" s="105">
        <f>NPV('NNV- nullalternativ'!$B$3,'NNV- nullalternativ'!$D$15:$Q$15)*1.1</f>
        <v>91404500436.946701</v>
      </c>
      <c r="J56" s="105">
        <f>NPV('NNV- Elektrifisering av Melkøya'!$B$3,'NNV- Elektrifisering av Melkøya'!$D$16:$Q$16)*1.1</f>
        <v>91404500436.946701</v>
      </c>
    </row>
    <row r="57" spans="2:10" x14ac:dyDescent="0.25">
      <c r="B57" s="42" t="s">
        <v>37</v>
      </c>
      <c r="C57" s="107"/>
      <c r="D57" s="108">
        <f>--NPV('NNV- Elektrifisering av Melkøya'!$B$3,'NNV- Elektrifisering av Melkøya'!$D$17:$Q$17)</f>
        <v>-13571320993.067627</v>
      </c>
      <c r="E57" s="151"/>
      <c r="F57" s="152"/>
      <c r="G57" s="107"/>
      <c r="H57" s="108">
        <f>--NPV('NNV- Elektrifisering av Melkøya'!$B$3,'NNV- Elektrifisering av Melkøya'!$D$17:$Q$17)</f>
        <v>-13571320993.067627</v>
      </c>
      <c r="I57" s="107"/>
      <c r="J57" s="108">
        <f>--NPV('NNV- Elektrifisering av Melkøya'!$B$3,'NNV- Elektrifisering av Melkøya'!$D$17:$Q$17)</f>
        <v>-13571320993.067627</v>
      </c>
    </row>
    <row r="58" spans="2:10" s="81" customFormat="1" x14ac:dyDescent="0.25">
      <c r="B58" s="42" t="s">
        <v>38</v>
      </c>
      <c r="C58" s="107"/>
      <c r="D58" s="108">
        <f>NPV('NNV- Elektrifisering av Melkøya'!$B$3,'NNV- Elektrifisering av Melkøya'!$D$18:$Q$18)</f>
        <v>-24168425262.592682</v>
      </c>
      <c r="E58" s="151"/>
      <c r="F58" s="152"/>
      <c r="G58" s="107"/>
      <c r="H58" s="108">
        <f>NPV('NNV- Elektrifisering av Melkøya'!$B$3,'NNV- Elektrifisering av Melkøya'!$D$18:$Q$18)</f>
        <v>-24168425262.592682</v>
      </c>
      <c r="I58" s="107"/>
      <c r="J58" s="108">
        <f>NPV('NNV- Elektrifisering av Melkøya'!$B$3,'NNV- Elektrifisering av Melkøya'!$D$18:$Q$18)</f>
        <v>-24168425262.592682</v>
      </c>
    </row>
    <row r="59" spans="2:10" x14ac:dyDescent="0.25">
      <c r="B59" s="42" t="s">
        <v>39</v>
      </c>
      <c r="C59" s="65">
        <f>+'NNV- nullalternativ'!$C$16</f>
        <v>-8500000000</v>
      </c>
      <c r="D59" s="65">
        <f>'NNV- Elektrifisering av Melkøya'!$C$19</f>
        <v>-8500000000</v>
      </c>
      <c r="E59" s="151"/>
      <c r="F59" s="152"/>
      <c r="G59" s="65">
        <f>+'NNV- nullalternativ'!$C$16</f>
        <v>-8500000000</v>
      </c>
      <c r="H59" s="65">
        <f>'NNV- Elektrifisering av Melkøya'!$C$19</f>
        <v>-8500000000</v>
      </c>
      <c r="I59" s="65">
        <f>+'NNV- nullalternativ'!$C$16</f>
        <v>-8500000000</v>
      </c>
      <c r="J59" s="65">
        <f>'NNV- Elektrifisering av Melkøya'!$C$19</f>
        <v>-8500000000</v>
      </c>
    </row>
    <row r="60" spans="2:10" x14ac:dyDescent="0.25">
      <c r="B60" s="42" t="s">
        <v>40</v>
      </c>
      <c r="C60" s="3"/>
      <c r="D60" s="65">
        <f>'NNV- Elektrifisering av Melkøya'!$C$20</f>
        <v>-4700000000</v>
      </c>
      <c r="E60" s="151"/>
      <c r="F60" s="152"/>
      <c r="G60" s="3"/>
      <c r="H60" s="65">
        <f>'NNV- Elektrifisering av Melkøya'!$C$20</f>
        <v>-4700000000</v>
      </c>
      <c r="I60" s="3"/>
      <c r="J60" s="65">
        <f>'NNV- Elektrifisering av Melkøya'!$C$20</f>
        <v>-4700000000</v>
      </c>
    </row>
    <row r="61" spans="2:10" x14ac:dyDescent="0.25">
      <c r="B61" s="42" t="s">
        <v>41</v>
      </c>
      <c r="C61" s="3"/>
      <c r="D61" s="65">
        <f>+'NNV- Elektrifisering av Melkøya'!$C$21</f>
        <v>-3100000000</v>
      </c>
      <c r="E61" s="151"/>
      <c r="F61" s="152"/>
      <c r="G61" s="3"/>
      <c r="H61" s="65">
        <f>+'NNV- Elektrifisering av Melkøya'!$C$21</f>
        <v>-3100000000</v>
      </c>
      <c r="I61" s="3"/>
      <c r="J61" s="65">
        <f>+'NNV- Elektrifisering av Melkøya'!$C$21</f>
        <v>-3100000000</v>
      </c>
    </row>
    <row r="62" spans="2:10" x14ac:dyDescent="0.25">
      <c r="B62" s="42" t="s">
        <v>42</v>
      </c>
      <c r="C62" s="3"/>
      <c r="D62" s="65">
        <v>-500000000</v>
      </c>
      <c r="E62" s="151"/>
      <c r="F62" s="152"/>
      <c r="G62" s="3"/>
      <c r="H62" s="65">
        <v>-500000000</v>
      </c>
      <c r="I62" s="3"/>
      <c r="J62" s="65">
        <v>-500000000</v>
      </c>
    </row>
    <row r="63" spans="2:10" x14ac:dyDescent="0.25">
      <c r="B63" s="103" t="s">
        <v>43</v>
      </c>
      <c r="C63" s="104"/>
      <c r="D63" s="105">
        <f>+'NNV- Elektrifisering av Melkøya'!$R$24/(1+'NNV- Elektrifisering av Melkøya'!$B$3)^15</f>
        <v>3068751585.9383249</v>
      </c>
      <c r="E63" s="149"/>
      <c r="F63" s="150"/>
      <c r="G63" s="104"/>
      <c r="H63" s="105">
        <f>('NNV- Elektrifisering av Melkøya'!$R$24/(1+'NNV- Elektrifisering av Melkøya'!$B$3)^15)*1.05</f>
        <v>3222189165.2352414</v>
      </c>
      <c r="I63" s="104"/>
      <c r="J63" s="105">
        <f>('NNV- Elektrifisering av Melkøya'!$R$24/(1+'NNV- Elektrifisering av Melkøya'!$B$3)^15)*1.1</f>
        <v>3375626744.5321579</v>
      </c>
    </row>
    <row r="64" spans="2:10" x14ac:dyDescent="0.25">
      <c r="B64" s="48" t="s">
        <v>44</v>
      </c>
      <c r="C64" s="82">
        <f>SUM(C54:C63)</f>
        <v>53381150334.611443</v>
      </c>
      <c r="D64" s="82">
        <f>SUM(D54:D63)</f>
        <v>50482279376.84668</v>
      </c>
      <c r="E64" s="151"/>
      <c r="F64" s="152"/>
      <c r="G64" s="82">
        <f>SUM(G54:G63)</f>
        <v>57535900354.472664</v>
      </c>
      <c r="H64" s="82">
        <f>SUM(H54:H63)</f>
        <v>54790466976.004837</v>
      </c>
      <c r="I64" s="82">
        <f>SUM(I54:I63)</f>
        <v>61690650374.333862</v>
      </c>
      <c r="J64" s="82">
        <f>SUM(J54:J63)</f>
        <v>59098654575.162956</v>
      </c>
    </row>
    <row r="65" spans="1:12" x14ac:dyDescent="0.25">
      <c r="B65" s="153"/>
      <c r="C65" s="154"/>
      <c r="D65" s="154"/>
      <c r="E65" s="154"/>
      <c r="F65" s="154"/>
      <c r="G65" s="154"/>
      <c r="H65" s="154"/>
      <c r="I65" s="154"/>
      <c r="J65" s="155"/>
    </row>
    <row r="66" spans="1:12" x14ac:dyDescent="0.25">
      <c r="B66" s="100" t="s">
        <v>49</v>
      </c>
      <c r="C66" s="100"/>
      <c r="D66" s="100"/>
      <c r="E66" s="156"/>
      <c r="F66" s="157"/>
      <c r="G66" s="45">
        <f>G64-C64</f>
        <v>4154750019.8612213</v>
      </c>
      <c r="H66" s="45">
        <f>H64-D64</f>
        <v>4308187599.1581573</v>
      </c>
      <c r="I66" s="45">
        <f>+I64-C64</f>
        <v>8309500039.7224197</v>
      </c>
      <c r="J66" s="45">
        <f>+J64-D64</f>
        <v>8616375198.3162766</v>
      </c>
    </row>
    <row r="67" spans="1:12" x14ac:dyDescent="0.25">
      <c r="B67" s="153"/>
      <c r="C67" s="154"/>
      <c r="D67" s="154"/>
      <c r="E67" s="154"/>
      <c r="F67" s="154"/>
      <c r="G67" s="154"/>
      <c r="H67" s="154"/>
      <c r="I67" s="154"/>
      <c r="J67" s="155"/>
    </row>
    <row r="68" spans="1:12" x14ac:dyDescent="0.25">
      <c r="A68" s="1"/>
      <c r="B68" s="100" t="s">
        <v>50</v>
      </c>
      <c r="C68" s="100"/>
      <c r="D68" s="45">
        <f>+D64-C64</f>
        <v>-2898870957.7647629</v>
      </c>
      <c r="E68" s="158"/>
      <c r="F68" s="159"/>
      <c r="G68" s="100"/>
      <c r="H68" s="45">
        <f>+H64-G64</f>
        <v>-2745433378.4678268</v>
      </c>
      <c r="I68" s="100"/>
      <c r="J68" s="45">
        <f>+J64-I64</f>
        <v>-2591995799.1709061</v>
      </c>
    </row>
    <row r="69" spans="1:12" ht="15.75" thickBot="1" x14ac:dyDescent="0.3"/>
    <row r="70" spans="1:12" ht="15.75" thickBot="1" x14ac:dyDescent="0.3">
      <c r="B70" s="122" t="s">
        <v>55</v>
      </c>
      <c r="H70" s="24"/>
      <c r="J70" s="24"/>
    </row>
    <row r="71" spans="1:12" ht="15.75" thickBot="1" x14ac:dyDescent="0.3">
      <c r="B71" s="122" t="s">
        <v>32</v>
      </c>
    </row>
    <row r="73" spans="1:12" ht="15.75" thickBot="1" x14ac:dyDescent="0.3">
      <c r="A73" s="1"/>
      <c r="B73" s="1"/>
    </row>
    <row r="74" spans="1:12" ht="15.75" thickBot="1" x14ac:dyDescent="0.3">
      <c r="A74" s="116" t="s">
        <v>56</v>
      </c>
      <c r="B74" s="117" t="s">
        <v>57</v>
      </c>
    </row>
    <row r="75" spans="1:12" ht="21" x14ac:dyDescent="0.35">
      <c r="B75" s="30"/>
      <c r="G75" s="162" t="s">
        <v>58</v>
      </c>
      <c r="H75" s="162"/>
      <c r="I75" s="162"/>
      <c r="J75" s="162"/>
    </row>
    <row r="76" spans="1:12" x14ac:dyDescent="0.25">
      <c r="G76" s="163" t="s">
        <v>59</v>
      </c>
      <c r="H76" s="163"/>
      <c r="I76" s="163" t="s">
        <v>60</v>
      </c>
      <c r="J76" s="163"/>
    </row>
    <row r="77" spans="1:12" x14ac:dyDescent="0.25">
      <c r="C77" s="160" t="s">
        <v>31</v>
      </c>
      <c r="D77" s="161"/>
      <c r="E77" s="110"/>
      <c r="G77" s="160" t="s">
        <v>31</v>
      </c>
      <c r="H77" s="161"/>
      <c r="I77" s="160" t="s">
        <v>31</v>
      </c>
      <c r="J77" s="161"/>
    </row>
    <row r="78" spans="1:12" x14ac:dyDescent="0.25">
      <c r="C78" s="63" t="s">
        <v>26</v>
      </c>
      <c r="D78" s="63" t="s">
        <v>27</v>
      </c>
      <c r="E78" s="110"/>
      <c r="G78" s="63" t="s">
        <v>26</v>
      </c>
      <c r="H78" s="63" t="s">
        <v>27</v>
      </c>
      <c r="I78" s="63" t="s">
        <v>26</v>
      </c>
      <c r="J78" s="63" t="s">
        <v>27</v>
      </c>
    </row>
    <row r="79" spans="1:12" x14ac:dyDescent="0.25">
      <c r="B79" s="42" t="s">
        <v>33</v>
      </c>
      <c r="C79" s="83">
        <v>14</v>
      </c>
      <c r="D79" s="83">
        <v>14</v>
      </c>
      <c r="E79" s="110"/>
      <c r="G79" s="111">
        <v>14</v>
      </c>
      <c r="H79" s="111">
        <v>14</v>
      </c>
      <c r="I79" s="25">
        <v>14</v>
      </c>
      <c r="J79" s="111">
        <v>14</v>
      </c>
    </row>
    <row r="80" spans="1:12" x14ac:dyDescent="0.25">
      <c r="B80" s="42" t="s">
        <v>34</v>
      </c>
      <c r="C80" s="65">
        <f>NPV('NNV- nullalternativ'!$B$3,'NNV- nullalternativ'!$D$14:$Q$14)</f>
        <v>-21213850062.612831</v>
      </c>
      <c r="D80" s="65">
        <f>NPV('NNV- Elektrifisering av Melkøya'!$B$3,'NNV- Elektrifisering av Melkøya'!$D$14:$Q$14)</f>
        <v>-1177788206.6342149</v>
      </c>
      <c r="E80" s="79"/>
      <c r="F80" s="42" t="s">
        <v>61</v>
      </c>
      <c r="G80" s="112">
        <f>NPV(Følsomhetsanalyse!$B$3,Følsomhetsanalyse!$D$49:$Q$49)</f>
        <v>-9179123497.4095497</v>
      </c>
      <c r="H80" s="112">
        <f>NPV(Følsomhetsanalyse!$B$3,Følsomhetsanalyse!$D$15:$Q$15)</f>
        <v>-509622881.77671891</v>
      </c>
      <c r="I80" s="112">
        <f>NPV(Følsomhetsanalyse!$B$3,Følsomhetsanalyse!$D$59:$Q$59)</f>
        <v>-49808196086.894348</v>
      </c>
      <c r="J80" s="112">
        <f>NPV(Følsomhetsanalyse!$B$3,Følsomhetsanalyse!$D$31:$Q$31)</f>
        <v>-2765339896.8939099</v>
      </c>
      <c r="L80" s="24"/>
    </row>
    <row r="81" spans="2:10" x14ac:dyDescent="0.25">
      <c r="B81" s="42" t="s">
        <v>35</v>
      </c>
      <c r="D81" s="65">
        <f>NPV('NNV- Elektrifisering av Melkøya'!$B$3,'NNV- Elektrifisering av Melkøya'!$D$15:$Q$15)</f>
        <v>20036061855.978615</v>
      </c>
      <c r="E81" s="79"/>
      <c r="F81" s="42" t="s">
        <v>62</v>
      </c>
      <c r="G81" s="113"/>
      <c r="H81" s="112">
        <f>NPV(Følsomhetsanalyse!$B$3,Følsomhetsanalyse!$D$16:$Q$16)</f>
        <v>8669500615.6328316</v>
      </c>
      <c r="I81" s="114"/>
      <c r="J81" s="112">
        <f>NPV(Følsomhetsanalyse!$B$3,Følsomhetsanalyse!$D$32:$Q$32)</f>
        <v>47042856190.000427</v>
      </c>
    </row>
    <row r="82" spans="2:10" x14ac:dyDescent="0.25">
      <c r="B82" s="42" t="s">
        <v>36</v>
      </c>
      <c r="C82" s="65">
        <f>NPV('NNV- nullalternativ'!$B$3,'NNV- nullalternativ'!$D$15:$Q$15)</f>
        <v>83095000397.224274</v>
      </c>
      <c r="D82" s="65">
        <f>NPV('NNV- Elektrifisering av Melkøya'!$B$3,'NNV- Elektrifisering av Melkøya'!$D$16:$Q$16)</f>
        <v>83095000397.224274</v>
      </c>
      <c r="E82" s="79"/>
      <c r="G82" s="65">
        <f>NPV('NNV- nullalternativ'!$B$3,'NNV- nullalternativ'!$D$15:$Q$15)</f>
        <v>83095000397.224274</v>
      </c>
      <c r="H82" s="65">
        <f>NPV('NNV- Elektrifisering av Melkøya'!$B$3,'NNV- Elektrifisering av Melkøya'!$D$16:$Q$16)</f>
        <v>83095000397.224274</v>
      </c>
      <c r="I82" s="65">
        <f>NPV('NNV- nullalternativ'!$B$3,'NNV- nullalternativ'!$D$15:$Q$15)</f>
        <v>83095000397.224274</v>
      </c>
      <c r="J82" s="65">
        <f>NPV('NNV- Elektrifisering av Melkøya'!$B$3,'NNV- Elektrifisering av Melkøya'!$D$16:$Q$16)</f>
        <v>83095000397.224274</v>
      </c>
    </row>
    <row r="83" spans="2:10" x14ac:dyDescent="0.25">
      <c r="B83" s="42" t="s">
        <v>37</v>
      </c>
      <c r="C83" s="107"/>
      <c r="D83" s="108">
        <f>--NPV('NNV- Elektrifisering av Melkøya'!$B$3,'NNV- Elektrifisering av Melkøya'!$D$17:$Q$17)</f>
        <v>-13571320993.067627</v>
      </c>
      <c r="E83" s="79"/>
      <c r="F83" s="81"/>
      <c r="G83" s="107"/>
      <c r="H83" s="108">
        <f>--NPV('NNV- Elektrifisering av Melkøya'!$B$3,'NNV- Elektrifisering av Melkøya'!$D$17:$Q$17)</f>
        <v>-13571320993.067627</v>
      </c>
      <c r="I83" s="107"/>
      <c r="J83" s="108">
        <f>--NPV('NNV- Elektrifisering av Melkøya'!$B$3,'NNV- Elektrifisering av Melkøya'!$D$17:$R$17)</f>
        <v>-14121032850.753769</v>
      </c>
    </row>
    <row r="84" spans="2:10" s="81" customFormat="1" x14ac:dyDescent="0.25">
      <c r="B84" s="42" t="s">
        <v>38</v>
      </c>
      <c r="C84" s="107"/>
      <c r="D84" s="108">
        <f>NPV('NNV- Elektrifisering av Melkøya'!$B$3,'NNV- Elektrifisering av Melkøya'!$D$18:$Q$18)</f>
        <v>-24168425262.592682</v>
      </c>
      <c r="E84" s="79"/>
      <c r="G84" s="107"/>
      <c r="H84" s="108">
        <f>NPV('NNV- Elektrifisering av Melkøya'!$B$3,'NNV- Elektrifisering av Melkøya'!$D$18:$Q$18)</f>
        <v>-24168425262.592682</v>
      </c>
      <c r="I84" s="107"/>
      <c r="J84" s="108">
        <f>NPV('NNV- Elektrifisering av Melkøya'!$B$3,'NNV- Elektrifisering av Melkøya'!$D$18:$Q$18)</f>
        <v>-24168425262.592682</v>
      </c>
    </row>
    <row r="85" spans="2:10" x14ac:dyDescent="0.25">
      <c r="B85" s="42" t="s">
        <v>39</v>
      </c>
      <c r="C85" s="65">
        <f>+'NNV- nullalternativ'!$C$16</f>
        <v>-8500000000</v>
      </c>
      <c r="D85" s="65">
        <f>'NNV- Elektrifisering av Melkøya'!$C$19</f>
        <v>-8500000000</v>
      </c>
      <c r="E85" s="79"/>
      <c r="G85" s="65">
        <f>+'NNV- nullalternativ'!$C$16</f>
        <v>-8500000000</v>
      </c>
      <c r="H85" s="65">
        <f>'NNV- Elektrifisering av Melkøya'!$C$19</f>
        <v>-8500000000</v>
      </c>
      <c r="I85" s="65">
        <f>+'NNV- nullalternativ'!$C$16</f>
        <v>-8500000000</v>
      </c>
      <c r="J85" s="65">
        <f>'NNV- Elektrifisering av Melkøya'!$C$19</f>
        <v>-8500000000</v>
      </c>
    </row>
    <row r="86" spans="2:10" x14ac:dyDescent="0.25">
      <c r="B86" s="42" t="s">
        <v>40</v>
      </c>
      <c r="C86" s="3"/>
      <c r="D86" s="65">
        <f>'NNV- Elektrifisering av Melkøya'!$C$20</f>
        <v>-4700000000</v>
      </c>
      <c r="E86" s="79"/>
      <c r="G86" s="3"/>
      <c r="H86" s="65">
        <f>'NNV- Elektrifisering av Melkøya'!$C$20</f>
        <v>-4700000000</v>
      </c>
      <c r="I86" s="3"/>
      <c r="J86" s="65">
        <f>'NNV- Elektrifisering av Melkøya'!$C$20</f>
        <v>-4700000000</v>
      </c>
    </row>
    <row r="87" spans="2:10" x14ac:dyDescent="0.25">
      <c r="B87" s="42" t="s">
        <v>41</v>
      </c>
      <c r="C87" s="3"/>
      <c r="D87" s="65">
        <f>+'NNV- Elektrifisering av Melkøya'!$C$21</f>
        <v>-3100000000</v>
      </c>
      <c r="E87" s="79"/>
      <c r="G87" s="3"/>
      <c r="H87" s="65">
        <f>+'NNV- Elektrifisering av Melkøya'!$C$21</f>
        <v>-3100000000</v>
      </c>
      <c r="I87" s="3"/>
      <c r="J87" s="65">
        <f>+'NNV- Elektrifisering av Melkøya'!$C$21</f>
        <v>-3100000000</v>
      </c>
    </row>
    <row r="88" spans="2:10" x14ac:dyDescent="0.25">
      <c r="B88" s="62" t="s">
        <v>42</v>
      </c>
      <c r="C88" s="3"/>
      <c r="D88" s="65">
        <v>-500000000</v>
      </c>
      <c r="E88" s="79"/>
      <c r="G88" s="101"/>
      <c r="H88" s="102">
        <v>-500000000</v>
      </c>
      <c r="I88" s="3"/>
      <c r="J88" s="65">
        <v>-500000000</v>
      </c>
    </row>
    <row r="89" spans="2:10" x14ac:dyDescent="0.25">
      <c r="B89" s="62" t="s">
        <v>43</v>
      </c>
      <c r="C89" s="3"/>
      <c r="D89" s="65">
        <f>+'NNV- Elektrifisering av Melkøya'!$R$24/(1+'NNV- Elektrifisering av Melkøya'!$B$3)^15</f>
        <v>3068751585.9383249</v>
      </c>
      <c r="E89" s="79"/>
      <c r="G89" s="101"/>
      <c r="H89" s="102">
        <f>+'NNV- Elektrifisering av Melkøya'!$R$24/(1+'NNV- Elektrifisering av Melkøya'!$B$3)^15</f>
        <v>3068751585.9383249</v>
      </c>
      <c r="I89" s="3"/>
      <c r="J89" s="65">
        <f>+'NNV- Elektrifisering av Melkøya'!$R$24/(1+'NNV- Elektrifisering av Melkøya'!$B$3)^15</f>
        <v>3068751585.9383249</v>
      </c>
    </row>
    <row r="90" spans="2:10" x14ac:dyDescent="0.25">
      <c r="B90" s="48" t="s">
        <v>44</v>
      </c>
      <c r="C90" s="82">
        <f>SUM(C80:C89)</f>
        <v>53381150334.611443</v>
      </c>
      <c r="D90" s="82">
        <f>SUM(D80:D89)</f>
        <v>50482279376.84668</v>
      </c>
      <c r="E90" s="109"/>
      <c r="G90" s="82">
        <f>+G85+G82+G80</f>
        <v>65415876899.814728</v>
      </c>
      <c r="H90" s="82">
        <f>SUM(H80:H89)</f>
        <v>39783883461.358398</v>
      </c>
      <c r="I90" s="82">
        <f>SUM(I80:I89)</f>
        <v>24786804310.329926</v>
      </c>
      <c r="J90" s="82">
        <f>SUM(J80:J89)</f>
        <v>75351810162.922653</v>
      </c>
    </row>
    <row r="92" spans="2:10" x14ac:dyDescent="0.25">
      <c r="B92" s="31" t="s">
        <v>49</v>
      </c>
      <c r="C92" s="31"/>
      <c r="D92" s="31"/>
      <c r="E92" s="51"/>
      <c r="F92" s="31"/>
      <c r="G92" s="32">
        <f>G90-C90</f>
        <v>12034726565.203285</v>
      </c>
      <c r="H92" s="32">
        <f>H90-D90</f>
        <v>-10698395915.488281</v>
      </c>
      <c r="I92" s="32">
        <f>+I90-C90</f>
        <v>-28594346024.281517</v>
      </c>
      <c r="J92" s="32">
        <f>+J90-D90</f>
        <v>24869530786.075974</v>
      </c>
    </row>
    <row r="94" spans="2:10" x14ac:dyDescent="0.25">
      <c r="B94" s="31" t="s">
        <v>50</v>
      </c>
      <c r="C94" s="31"/>
      <c r="D94" s="32">
        <f>+D90-C90</f>
        <v>-2898870957.7647629</v>
      </c>
      <c r="E94" s="109"/>
      <c r="F94" s="31"/>
      <c r="G94" s="31"/>
      <c r="H94" s="32">
        <f>+H90-G90</f>
        <v>-25631993438.456329</v>
      </c>
      <c r="I94" s="31"/>
      <c r="J94" s="32">
        <f>+J90-I90</f>
        <v>50565005852.592728</v>
      </c>
    </row>
    <row r="95" spans="2:10" ht="15.75" thickBot="1" x14ac:dyDescent="0.3"/>
    <row r="96" spans="2:10" ht="15.75" thickBot="1" x14ac:dyDescent="0.3">
      <c r="B96" s="122" t="s">
        <v>55</v>
      </c>
    </row>
    <row r="97" spans="2:11" ht="15.75" thickBot="1" x14ac:dyDescent="0.3">
      <c r="B97" s="122" t="s">
        <v>32</v>
      </c>
    </row>
    <row r="98" spans="2:11" ht="15.75" thickBot="1" x14ac:dyDescent="0.3"/>
    <row r="99" spans="2:11" ht="16.5" thickBot="1" x14ac:dyDescent="0.3">
      <c r="B99" s="117" t="s">
        <v>63</v>
      </c>
      <c r="E99"/>
      <c r="F99" s="167" t="s">
        <v>64</v>
      </c>
      <c r="G99" s="167"/>
      <c r="H99" s="167"/>
      <c r="I99" s="167"/>
      <c r="J99" s="167"/>
      <c r="K99" s="167"/>
    </row>
    <row r="100" spans="2:11" x14ac:dyDescent="0.25">
      <c r="E100"/>
      <c r="F100" s="168">
        <v>0.05</v>
      </c>
      <c r="G100" s="168"/>
      <c r="H100" s="169">
        <v>7.4999999999999997E-2</v>
      </c>
      <c r="I100" s="169"/>
      <c r="J100" s="168">
        <v>0.1</v>
      </c>
      <c r="K100" s="168"/>
    </row>
    <row r="101" spans="2:11" x14ac:dyDescent="0.25">
      <c r="C101" s="160" t="s">
        <v>31</v>
      </c>
      <c r="D101" s="161"/>
      <c r="E101"/>
      <c r="F101" s="160" t="s">
        <v>31</v>
      </c>
      <c r="G101" s="161"/>
      <c r="H101" s="160" t="s">
        <v>31</v>
      </c>
      <c r="I101" s="161"/>
      <c r="J101" s="160" t="s">
        <v>31</v>
      </c>
      <c r="K101" s="161"/>
    </row>
    <row r="102" spans="2:11" x14ac:dyDescent="0.25">
      <c r="C102" s="63" t="s">
        <v>26</v>
      </c>
      <c r="D102" s="63" t="s">
        <v>27</v>
      </c>
      <c r="E102"/>
      <c r="F102" s="63" t="s">
        <v>26</v>
      </c>
      <c r="G102" s="63" t="s">
        <v>27</v>
      </c>
      <c r="H102" s="63" t="s">
        <v>26</v>
      </c>
      <c r="I102" s="63" t="s">
        <v>27</v>
      </c>
      <c r="J102" s="63" t="s">
        <v>26</v>
      </c>
      <c r="K102" s="63" t="s">
        <v>27</v>
      </c>
    </row>
    <row r="103" spans="2:11" x14ac:dyDescent="0.25">
      <c r="B103" s="42" t="s">
        <v>33</v>
      </c>
      <c r="C103" s="83">
        <v>14</v>
      </c>
      <c r="D103" s="83">
        <v>14</v>
      </c>
      <c r="E103"/>
      <c r="F103" s="3"/>
      <c r="G103" s="3"/>
      <c r="H103" s="3"/>
      <c r="I103" s="3"/>
    </row>
    <row r="104" spans="2:11" x14ac:dyDescent="0.25">
      <c r="B104" s="42" t="s">
        <v>34</v>
      </c>
      <c r="C104" s="65">
        <f>NPV('NNV- nullalternativ'!$B$3,'NNV- nullalternativ'!$D$14:$R$14)</f>
        <v>-21213850062.612831</v>
      </c>
      <c r="D104" s="65">
        <f>NPV('NNV- Elektrifisering av Melkøya'!$B$3,'NNV- Elektrifisering av Melkøya'!$D$14:$Q$14)</f>
        <v>-1177788206.6342149</v>
      </c>
      <c r="E104"/>
      <c r="F104" s="65">
        <f>NPV('NNV- nullalternativ'!$B$3,'NNV- nullalternativ'!$D$14:$R$14)*1.05</f>
        <v>-22274542565.743473</v>
      </c>
      <c r="G104" s="65">
        <f>NPV('NNV- Elektrifisering av Melkøya'!$B$3,'NNV- Elektrifisering av Melkøya'!$D$14:$Q$14)*1.05</f>
        <v>-1236677616.9659257</v>
      </c>
      <c r="H104" s="65">
        <f>NPV('NNV- nullalternativ'!$B$3,'NNV- nullalternativ'!$D$14:$R$14)*1.075</f>
        <v>-22804888817.308792</v>
      </c>
      <c r="I104" s="65">
        <f>NPV('NNV- Elektrifisering av Melkøya'!$B$3,'NNV- Elektrifisering av Melkøya'!$D$14:$Q$14)*1.075</f>
        <v>-1266122322.1317809</v>
      </c>
      <c r="J104" s="65">
        <f>NPV('NNV- nullalternativ'!$B$3,'NNV- nullalternativ'!$D$14:$Q$14)*1.1</f>
        <v>-23335235068.874115</v>
      </c>
      <c r="K104" s="65">
        <f>NPV('NNV- Elektrifisering av Melkøya'!$B$3,'NNV- Elektrifisering av Melkøya'!$D$14:$Q$14)*1.1</f>
        <v>-1295567027.2976365</v>
      </c>
    </row>
    <row r="105" spans="2:11" x14ac:dyDescent="0.25">
      <c r="B105" s="42" t="s">
        <v>35</v>
      </c>
      <c r="D105" s="65">
        <f>NPV('NNV- Elektrifisering av Melkøya'!$B$3,'NNV- Elektrifisering av Melkøya'!$D$15:$Q$15)</f>
        <v>20036061855.978615</v>
      </c>
      <c r="E105"/>
      <c r="G105" s="65">
        <f>NPV('NNV- Elektrifisering av Melkøya'!$B$3,'NNV- Elektrifisering av Melkøya'!$D$15:$Q$15)*1.05</f>
        <v>21037864948.777546</v>
      </c>
      <c r="I105" s="65">
        <f>NPV('NNV- Elektrifisering av Melkøya'!$B$3,'NNV- Elektrifisering av Melkøya'!$D$15:$Q$15)*1.075</f>
        <v>21538766495.17701</v>
      </c>
      <c r="K105" s="65">
        <f>NPV('NNV- Elektrifisering av Melkøya'!$B$3,'NNV- Elektrifisering av Melkøya'!$D$15:$Q$15)*1.1</f>
        <v>22039668041.576477</v>
      </c>
    </row>
    <row r="106" spans="2:11" x14ac:dyDescent="0.25">
      <c r="B106" s="42" t="s">
        <v>36</v>
      </c>
      <c r="C106" s="65">
        <f>NPV('NNV- nullalternativ'!$B$3,'NNV- nullalternativ'!$D$15:$Q$15)</f>
        <v>83095000397.224274</v>
      </c>
      <c r="D106" s="65">
        <f>NPV('NNV- Elektrifisering av Melkøya'!$B$3,'NNV- Elektrifisering av Melkøya'!$D$16:$Q$16)</f>
        <v>83095000397.224274</v>
      </c>
      <c r="E106"/>
      <c r="F106" s="65">
        <f>NPV('NNV- nullalternativ'!$B$3,'NNV- nullalternativ'!$D$15:$R$15)</f>
        <v>83095000397.224274</v>
      </c>
      <c r="G106" s="65">
        <f>NPV('NNV- Elektrifisering av Melkøya'!$B$3,'NNV- Elektrifisering av Melkøya'!$D$16:$Q$16)</f>
        <v>83095000397.224274</v>
      </c>
      <c r="H106" s="65">
        <f>NPV('NNV- nullalternativ'!$B$3,'NNV- nullalternativ'!$D$15:$R$15)</f>
        <v>83095000397.224274</v>
      </c>
      <c r="I106" s="65">
        <f>NPV('NNV- Elektrifisering av Melkøya'!$B$3,'NNV- Elektrifisering av Melkøya'!$D$16:$Q$16)</f>
        <v>83095000397.224274</v>
      </c>
      <c r="J106" s="65">
        <f>NPV('NNV- nullalternativ'!$B$3,'NNV- nullalternativ'!$D$15:$Q$15)</f>
        <v>83095000397.224274</v>
      </c>
      <c r="K106" s="65">
        <f>NPV('NNV- Elektrifisering av Melkøya'!$B$3,'NNV- Elektrifisering av Melkøya'!$D$16:$Q$16)</f>
        <v>83095000397.224274</v>
      </c>
    </row>
    <row r="107" spans="2:11" x14ac:dyDescent="0.25">
      <c r="B107" s="106" t="s">
        <v>37</v>
      </c>
      <c r="C107" s="107"/>
      <c r="D107" s="108">
        <f>--NPV('NNV- Elektrifisering av Melkøya'!$B$3,'NNV- Elektrifisering av Melkøya'!$D$17:$Q$17)</f>
        <v>-13571320993.067627</v>
      </c>
      <c r="F107" s="107"/>
      <c r="G107" s="108">
        <f>--NPV('NNV- Elektrifisering av Melkøya'!$B$3,'NNV- Elektrifisering av Melkøya'!$D$17:$Q$17)</f>
        <v>-13571320993.067627</v>
      </c>
      <c r="H107" s="107"/>
      <c r="I107" s="108">
        <f>--NPV('NNV- Elektrifisering av Melkøya'!$B$3,'NNV- Elektrifisering av Melkøya'!$D$17:$Q$17)</f>
        <v>-13571320993.067627</v>
      </c>
      <c r="J107" s="107"/>
      <c r="K107" s="108">
        <f>--NPV('NNV- Elektrifisering av Melkøya'!$B$3,'NNV- Elektrifisering av Melkøya'!$D$17:$Q$17)</f>
        <v>-13571320993.067627</v>
      </c>
    </row>
    <row r="108" spans="2:11" x14ac:dyDescent="0.25">
      <c r="B108" s="106" t="s">
        <v>38</v>
      </c>
      <c r="C108" s="107"/>
      <c r="D108" s="108">
        <f>NPV('NNV- Elektrifisering av Melkøya'!$B$3,'NNV- Elektrifisering av Melkøya'!$D$18:$Q$18)</f>
        <v>-24168425262.592682</v>
      </c>
      <c r="F108" s="107"/>
      <c r="G108" s="108">
        <f>NPV('NNV- Elektrifisering av Melkøya'!$B$3,'NNV- Elektrifisering av Melkøya'!$D$18:$Q$18)</f>
        <v>-24168425262.592682</v>
      </c>
      <c r="H108" s="107"/>
      <c r="I108" s="108">
        <f>NPV('NNV- Elektrifisering av Melkøya'!$B$3,'NNV- Elektrifisering av Melkøya'!$D$18:$Q$18)</f>
        <v>-24168425262.592682</v>
      </c>
      <c r="J108" s="107"/>
      <c r="K108" s="108">
        <f>NPV('NNV- Elektrifisering av Melkøya'!$B$3,'NNV- Elektrifisering av Melkøya'!$D$18:$Q$18)</f>
        <v>-24168425262.592682</v>
      </c>
    </row>
    <row r="109" spans="2:11" x14ac:dyDescent="0.25">
      <c r="B109" s="42" t="s">
        <v>39</v>
      </c>
      <c r="C109" s="65">
        <f>+'NNV- nullalternativ'!$C$16</f>
        <v>-8500000000</v>
      </c>
      <c r="D109" s="65">
        <f>'NNV- Elektrifisering av Melkøya'!$C$19</f>
        <v>-8500000000</v>
      </c>
      <c r="E109"/>
      <c r="F109" s="65">
        <f>+'NNV- nullalternativ'!$C$16</f>
        <v>-8500000000</v>
      </c>
      <c r="G109" s="65">
        <f>'NNV- Elektrifisering av Melkøya'!$C$19</f>
        <v>-8500000000</v>
      </c>
      <c r="H109" s="65">
        <f>+'NNV- nullalternativ'!$C$16</f>
        <v>-8500000000</v>
      </c>
      <c r="I109" s="65">
        <f>'NNV- Elektrifisering av Melkøya'!$C$19</f>
        <v>-8500000000</v>
      </c>
      <c r="J109" s="65">
        <f>+'NNV- nullalternativ'!$C$16</f>
        <v>-8500000000</v>
      </c>
      <c r="K109" s="65">
        <f>'NNV- Elektrifisering av Melkøya'!$C$19</f>
        <v>-8500000000</v>
      </c>
    </row>
    <row r="110" spans="2:11" x14ac:dyDescent="0.25">
      <c r="B110" s="42" t="s">
        <v>40</v>
      </c>
      <c r="C110" s="3"/>
      <c r="D110" s="65">
        <f>'NNV- Elektrifisering av Melkøya'!$C$20</f>
        <v>-4700000000</v>
      </c>
      <c r="E110"/>
      <c r="F110" s="3"/>
      <c r="G110" s="65">
        <f>'NNV- Elektrifisering av Melkøya'!$C$20</f>
        <v>-4700000000</v>
      </c>
      <c r="H110" s="3"/>
      <c r="I110" s="65">
        <f>'NNV- Elektrifisering av Melkøya'!$C$20</f>
        <v>-4700000000</v>
      </c>
      <c r="J110" s="3"/>
      <c r="K110" s="65">
        <f>'NNV- Elektrifisering av Melkøya'!$C$20</f>
        <v>-4700000000</v>
      </c>
    </row>
    <row r="111" spans="2:11" x14ac:dyDescent="0.25">
      <c r="B111" s="42" t="s">
        <v>41</v>
      </c>
      <c r="C111" s="3"/>
      <c r="D111" s="65">
        <f>+'NNV- Elektrifisering av Melkøya'!$C$21</f>
        <v>-3100000000</v>
      </c>
      <c r="E111"/>
      <c r="F111" s="3"/>
      <c r="G111" s="65">
        <f>+'NNV- Elektrifisering av Melkøya'!$C$21</f>
        <v>-3100000000</v>
      </c>
      <c r="H111" s="3"/>
      <c r="I111" s="65">
        <f>+'NNV- Elektrifisering av Melkøya'!$C$21</f>
        <v>-3100000000</v>
      </c>
      <c r="J111" s="3"/>
      <c r="K111" s="65">
        <f>+'NNV- Elektrifisering av Melkøya'!$C$21</f>
        <v>-3100000000</v>
      </c>
    </row>
    <row r="112" spans="2:11" x14ac:dyDescent="0.25">
      <c r="B112" s="62" t="s">
        <v>42</v>
      </c>
      <c r="C112" s="3"/>
      <c r="D112" s="65">
        <v>-500000000</v>
      </c>
      <c r="E112"/>
      <c r="F112" s="101"/>
      <c r="G112" s="65">
        <v>-500000000</v>
      </c>
      <c r="H112" s="101"/>
      <c r="I112" s="65">
        <v>-499999999</v>
      </c>
      <c r="J112" s="3"/>
      <c r="K112" s="65">
        <v>-500000000</v>
      </c>
    </row>
    <row r="113" spans="2:11" x14ac:dyDescent="0.25">
      <c r="B113" s="62" t="s">
        <v>65</v>
      </c>
      <c r="C113" s="3"/>
      <c r="D113" s="65">
        <f>+'NNV- Elektrifisering av Melkøya'!$R$24/1.04^15</f>
        <v>3068751585.9383249</v>
      </c>
      <c r="E113"/>
      <c r="F113" s="101"/>
      <c r="G113" s="65">
        <f>+'NNV- Elektrifisering av Melkøya'!$R$24/1.04^15</f>
        <v>3068751585.9383249</v>
      </c>
      <c r="H113" s="101"/>
      <c r="I113" s="65">
        <f>+'NNV- Elektrifisering av Melkøya'!$R$24/1.04^15</f>
        <v>3068751585.9383249</v>
      </c>
      <c r="J113" s="3"/>
      <c r="K113" s="65">
        <f>+'NNV- Elektrifisering av Melkøya'!$R$24/1.04^15</f>
        <v>3068751585.9383249</v>
      </c>
    </row>
    <row r="114" spans="2:11" x14ac:dyDescent="0.25">
      <c r="B114" s="48" t="s">
        <v>44</v>
      </c>
      <c r="C114" s="82">
        <f>SUM(C104:C112)</f>
        <v>53381150334.611443</v>
      </c>
      <c r="D114" s="82">
        <f>SUM(D104:D113)</f>
        <v>50482279376.84668</v>
      </c>
      <c r="E114"/>
      <c r="F114" s="82">
        <f t="shared" ref="F114:K114" si="0">SUM(F104:F113)</f>
        <v>52320457831.480804</v>
      </c>
      <c r="G114" s="82">
        <f t="shared" si="0"/>
        <v>51425193059.313904</v>
      </c>
      <c r="H114" s="82">
        <f t="shared" si="0"/>
        <v>51790111579.915482</v>
      </c>
      <c r="I114" s="82">
        <f t="shared" si="0"/>
        <v>51896649901.547516</v>
      </c>
      <c r="J114" s="82">
        <f t="shared" si="0"/>
        <v>51259765328.350159</v>
      </c>
      <c r="K114" s="82">
        <f t="shared" si="0"/>
        <v>52368106741.781128</v>
      </c>
    </row>
    <row r="115" spans="2:11" x14ac:dyDescent="0.25">
      <c r="E115"/>
    </row>
    <row r="116" spans="2:11" x14ac:dyDescent="0.25">
      <c r="B116" s="31" t="s">
        <v>49</v>
      </c>
      <c r="C116" s="31"/>
      <c r="D116" s="31"/>
      <c r="E116" s="31"/>
      <c r="F116" s="32">
        <f>F114-C114</f>
        <v>-1060692503.1306381</v>
      </c>
      <c r="G116" s="32">
        <f>G114-D114</f>
        <v>942913682.46722412</v>
      </c>
      <c r="H116" s="32">
        <f>H114-C114</f>
        <v>-1591038754.695961</v>
      </c>
      <c r="I116" s="32">
        <f>I114-D114</f>
        <v>1414370524.7008362</v>
      </c>
      <c r="J116" s="32">
        <f>+J114-C114</f>
        <v>-2121385006.2612839</v>
      </c>
      <c r="K116" s="32">
        <f>+K114-D114</f>
        <v>1885827364.9344482</v>
      </c>
    </row>
    <row r="117" spans="2:11" x14ac:dyDescent="0.25">
      <c r="E117"/>
    </row>
    <row r="118" spans="2:11" x14ac:dyDescent="0.25">
      <c r="B118" s="28" t="s">
        <v>50</v>
      </c>
      <c r="C118" s="28"/>
      <c r="D118" s="29">
        <f>+D114-C114</f>
        <v>-2898870957.7647629</v>
      </c>
      <c r="E118" s="28"/>
      <c r="F118" s="28"/>
      <c r="G118" s="29">
        <f>+G114-F114</f>
        <v>-895264772.16690063</v>
      </c>
      <c r="H118" s="28"/>
      <c r="I118" s="29">
        <f>+I114-H114</f>
        <v>106538321.6320343</v>
      </c>
      <c r="J118" s="28"/>
      <c r="K118" s="29">
        <f>+K114-J114</f>
        <v>1108341413.4309692</v>
      </c>
    </row>
    <row r="119" spans="2:11" ht="15.75" thickBot="1" x14ac:dyDescent="0.3"/>
    <row r="120" spans="2:11" ht="15.75" thickBot="1" x14ac:dyDescent="0.3">
      <c r="B120" s="122" t="s">
        <v>55</v>
      </c>
    </row>
    <row r="121" spans="2:11" ht="15.75" thickBot="1" x14ac:dyDescent="0.3">
      <c r="B121" s="122" t="s">
        <v>32</v>
      </c>
    </row>
    <row r="153" spans="2:6" x14ac:dyDescent="0.25">
      <c r="C153" s="163">
        <v>0.05</v>
      </c>
      <c r="D153" s="163"/>
      <c r="E153" s="163">
        <v>0.1</v>
      </c>
      <c r="F153" s="163"/>
    </row>
    <row r="154" spans="2:6" x14ac:dyDescent="0.25">
      <c r="C154" s="160" t="s">
        <v>31</v>
      </c>
      <c r="D154" s="161"/>
      <c r="E154" s="160" t="s">
        <v>31</v>
      </c>
      <c r="F154" s="161"/>
    </row>
    <row r="155" spans="2:6" x14ac:dyDescent="0.25">
      <c r="C155" s="63" t="s">
        <v>26</v>
      </c>
      <c r="D155" s="63" t="s">
        <v>27</v>
      </c>
      <c r="E155" s="63" t="s">
        <v>26</v>
      </c>
      <c r="F155" s="63" t="s">
        <v>27</v>
      </c>
    </row>
    <row r="156" spans="2:6" x14ac:dyDescent="0.25">
      <c r="B156" s="42" t="s">
        <v>33</v>
      </c>
      <c r="C156" s="3">
        <v>14</v>
      </c>
      <c r="D156" s="3">
        <v>14</v>
      </c>
      <c r="E156">
        <v>14</v>
      </c>
      <c r="F156">
        <v>14</v>
      </c>
    </row>
    <row r="157" spans="2:6" x14ac:dyDescent="0.25">
      <c r="B157" s="42" t="s">
        <v>34</v>
      </c>
      <c r="C157" s="65">
        <f>NPV('NNV- nullalternativ'!$B$3,'NNV- nullalternativ'!$D$14:$Q$14)</f>
        <v>-21213850062.612831</v>
      </c>
      <c r="D157" s="65">
        <f>NPV('NNV- Elektrifisering av Melkøya'!$B$3,'NNV- Elektrifisering av Melkøya'!$D$14:$Q$14)</f>
        <v>-1177788206.6342149</v>
      </c>
      <c r="E157" s="65">
        <f>NPV('NNV- nullalternativ'!$B$3,'NNV- nullalternativ'!$D$14:$Q$14)</f>
        <v>-21213850062.612831</v>
      </c>
      <c r="F157" s="65">
        <f>NPV('NNV- Elektrifisering av Melkøya'!$B$3,'NNV- Elektrifisering av Melkøya'!$D$14:$Q$14)</f>
        <v>-1177788206.6342149</v>
      </c>
    </row>
    <row r="158" spans="2:6" x14ac:dyDescent="0.25">
      <c r="B158" s="42" t="s">
        <v>35</v>
      </c>
      <c r="C158" s="3"/>
      <c r="D158" s="65">
        <f>NPV('NNV- Elektrifisering av Melkøya'!$B$3,'NNV- Elektrifisering av Melkøya'!$D$15:$Q$15)</f>
        <v>20036061855.978615</v>
      </c>
      <c r="E158"/>
      <c r="F158" s="65">
        <f>NPV('NNV- Elektrifisering av Melkøya'!$B$3,'NNV- Elektrifisering av Melkøya'!$D$15:$Q$15)</f>
        <v>20036061855.978615</v>
      </c>
    </row>
    <row r="159" spans="2:6" x14ac:dyDescent="0.25">
      <c r="B159" s="42" t="s">
        <v>36</v>
      </c>
      <c r="C159" s="65">
        <f>NPV('NNV- nullalternativ'!$B$3,'NNV- nullalternativ'!$D$15:$Q$15)</f>
        <v>83095000397.224274</v>
      </c>
      <c r="D159" s="65">
        <f>NPV('NNV- Elektrifisering av Melkøya'!$B$3,'NNV- Elektrifisering av Melkøya'!$D$16:$Q$16)</f>
        <v>83095000397.224274</v>
      </c>
      <c r="E159" s="65">
        <f>NPV('NNV- nullalternativ'!$B$3,'NNV- nullalternativ'!$D$15:$Q$15)</f>
        <v>83095000397.224274</v>
      </c>
      <c r="F159" s="65">
        <f>NPV('NNV- Elektrifisering av Melkøya'!$B$3,'NNV- Elektrifisering av Melkøya'!$D$16:$Q$16)</f>
        <v>83095000397.224274</v>
      </c>
    </row>
    <row r="160" spans="2:6" x14ac:dyDescent="0.25">
      <c r="B160" s="106" t="s">
        <v>37</v>
      </c>
      <c r="C160" s="107"/>
      <c r="D160" s="108">
        <f>--NPV('NNV- Elektrifisering av Melkøya'!$B$3,'NNV- Elektrifisering av Melkøya'!$D$17:$Q$17)</f>
        <v>-13571320993.067627</v>
      </c>
      <c r="E160" s="107"/>
      <c r="F160" s="108">
        <f>--NPV('NNV- Elektrifisering av Melkøya'!$B$3,'NNV- Elektrifisering av Melkøya'!$D$17:$Q$17)</f>
        <v>-13571320993.067627</v>
      </c>
    </row>
    <row r="161" spans="2:6" x14ac:dyDescent="0.25">
      <c r="B161" s="103" t="s">
        <v>38</v>
      </c>
      <c r="C161" s="104"/>
      <c r="D161" s="105">
        <f>NPV('NNV- Elektrifisering av Melkøya'!$B$3,'NNV- Elektrifisering av Melkøya'!$D$18:$Q$18)*1.05</f>
        <v>-25376846525.722317</v>
      </c>
      <c r="E161" s="104"/>
      <c r="F161" s="105">
        <f>NPV('NNV- Elektrifisering av Melkøya'!$B$3,'NNV- Elektrifisering av Melkøya'!$D$18:$Q$18)*1.1</f>
        <v>-26585267788.851952</v>
      </c>
    </row>
    <row r="162" spans="2:6" x14ac:dyDescent="0.25">
      <c r="B162" s="42" t="s">
        <v>39</v>
      </c>
      <c r="C162" s="65">
        <f>+'NNV- nullalternativ'!$C$16</f>
        <v>-8500000000</v>
      </c>
      <c r="D162" s="65">
        <f>'NNV- Elektrifisering av Melkøya'!$C$19</f>
        <v>-8500000000</v>
      </c>
      <c r="E162" s="65">
        <f>+'NNV- nullalternativ'!$C$16</f>
        <v>-8500000000</v>
      </c>
      <c r="F162" s="65">
        <f>'NNV- Elektrifisering av Melkøya'!$C$19</f>
        <v>-8500000000</v>
      </c>
    </row>
    <row r="163" spans="2:6" x14ac:dyDescent="0.25">
      <c r="B163" s="42" t="s">
        <v>40</v>
      </c>
      <c r="C163" s="3"/>
      <c r="D163" s="65">
        <f>'NNV- Elektrifisering av Melkøya'!$C$20</f>
        <v>-4700000000</v>
      </c>
      <c r="E163" s="3"/>
      <c r="F163" s="65">
        <f>'NNV- Elektrifisering av Melkøya'!$C$20</f>
        <v>-4700000000</v>
      </c>
    </row>
    <row r="164" spans="2:6" x14ac:dyDescent="0.25">
      <c r="B164" s="42" t="s">
        <v>41</v>
      </c>
      <c r="C164" s="3"/>
      <c r="D164" s="65">
        <f>+'NNV- Elektrifisering av Melkøya'!$C$21</f>
        <v>-3100000000</v>
      </c>
      <c r="E164" s="3"/>
      <c r="F164" s="65">
        <f>+'NNV- Elektrifisering av Melkøya'!$C$21</f>
        <v>-3100000000</v>
      </c>
    </row>
    <row r="165" spans="2:6" x14ac:dyDescent="0.25">
      <c r="B165" s="42" t="s">
        <v>42</v>
      </c>
      <c r="C165" s="101"/>
      <c r="D165" s="102">
        <v>-500000000</v>
      </c>
      <c r="E165" s="3"/>
      <c r="F165" s="65">
        <v>-500000000</v>
      </c>
    </row>
    <row r="166" spans="2:6" x14ac:dyDescent="0.25">
      <c r="B166" s="42" t="s">
        <v>43</v>
      </c>
      <c r="C166" s="101"/>
      <c r="D166" s="102">
        <f>+'NNV- Elektrifisering av Melkøya'!$R$24/(1+'NNV- Elektrifisering av Melkøya'!$B$3)^15</f>
        <v>3068751585.9383249</v>
      </c>
      <c r="E166" s="3"/>
      <c r="F166" s="65">
        <f>+'NNV- Elektrifisering av Melkøya'!$R$24/(1+'NNV- Elektrifisering av Melkøya'!$B$3)^15</f>
        <v>3068751585.9383249</v>
      </c>
    </row>
    <row r="167" spans="2:6" x14ac:dyDescent="0.25">
      <c r="B167" s="48" t="s">
        <v>44</v>
      </c>
      <c r="C167" s="82" t="e">
        <f>+#REF!+#REF!+C162</f>
        <v>#REF!</v>
      </c>
      <c r="D167" s="82">
        <f>SUM(D157:D166)</f>
        <v>49273858113.717041</v>
      </c>
      <c r="E167" s="82">
        <f>SUM(E157:E166)</f>
        <v>53381150334.611443</v>
      </c>
      <c r="F167" s="82">
        <f>SUM(F157:F166)</f>
        <v>48065436850.58741</v>
      </c>
    </row>
    <row r="592" spans="2:3" x14ac:dyDescent="0.25">
      <c r="B592" s="147"/>
      <c r="C592" s="148"/>
    </row>
  </sheetData>
  <mergeCells count="68">
    <mergeCell ref="C153:D153"/>
    <mergeCell ref="E153:F153"/>
    <mergeCell ref="C154:D154"/>
    <mergeCell ref="E154:F154"/>
    <mergeCell ref="C26:D26"/>
    <mergeCell ref="C51:D51"/>
    <mergeCell ref="E53:F53"/>
    <mergeCell ref="E54:F54"/>
    <mergeCell ref="F99:K99"/>
    <mergeCell ref="F100:G100"/>
    <mergeCell ref="H100:I100"/>
    <mergeCell ref="J100:K100"/>
    <mergeCell ref="C101:D101"/>
    <mergeCell ref="F101:G101"/>
    <mergeCell ref="H101:I101"/>
    <mergeCell ref="J101:K101"/>
    <mergeCell ref="G49:J49"/>
    <mergeCell ref="C50:D50"/>
    <mergeCell ref="C2:D2"/>
    <mergeCell ref="B2:B3"/>
    <mergeCell ref="C7:D7"/>
    <mergeCell ref="G25:J25"/>
    <mergeCell ref="G26:H26"/>
    <mergeCell ref="I26:J26"/>
    <mergeCell ref="C27:D27"/>
    <mergeCell ref="G27:H27"/>
    <mergeCell ref="I27:J27"/>
    <mergeCell ref="G3:H3"/>
    <mergeCell ref="G2:H2"/>
    <mergeCell ref="G4:H4"/>
    <mergeCell ref="I50:J50"/>
    <mergeCell ref="G76:H76"/>
    <mergeCell ref="I76:J76"/>
    <mergeCell ref="C77:D77"/>
    <mergeCell ref="G77:H77"/>
    <mergeCell ref="I77:J77"/>
    <mergeCell ref="G51:H51"/>
    <mergeCell ref="I51:J51"/>
    <mergeCell ref="G75:J75"/>
    <mergeCell ref="E29:F29"/>
    <mergeCell ref="E30:F30"/>
    <mergeCell ref="E31:F31"/>
    <mergeCell ref="E32:F32"/>
    <mergeCell ref="G50:H50"/>
    <mergeCell ref="E33:F33"/>
    <mergeCell ref="E34:F34"/>
    <mergeCell ref="E35:F35"/>
    <mergeCell ref="E36:F36"/>
    <mergeCell ref="E37:F37"/>
    <mergeCell ref="E38:F38"/>
    <mergeCell ref="E39:F39"/>
    <mergeCell ref="E40:F40"/>
    <mergeCell ref="G1:H1"/>
    <mergeCell ref="E55:F55"/>
    <mergeCell ref="B592:C592"/>
    <mergeCell ref="E56:F56"/>
    <mergeCell ref="E57:F57"/>
    <mergeCell ref="E58:F58"/>
    <mergeCell ref="E59:F59"/>
    <mergeCell ref="E60:F60"/>
    <mergeCell ref="E61:F61"/>
    <mergeCell ref="E62:F62"/>
    <mergeCell ref="E63:F63"/>
    <mergeCell ref="E64:F64"/>
    <mergeCell ref="B65:J65"/>
    <mergeCell ref="B67:J67"/>
    <mergeCell ref="E66:F66"/>
    <mergeCell ref="E68:F68"/>
  </mergeCells>
  <hyperlinks>
    <hyperlink ref="G2:H2" location="'Netto nåverdier oppsummering'!A45" display="1. Effekt av strømprisendring" xr:uid="{73986F9C-FC5D-4470-A019-B3573B9AC40A}"/>
    <hyperlink ref="G3:H3" location="'Netto nåverdier oppsummering'!A73" display="2. Effekt av endring i gasspris" xr:uid="{39CFAF88-CD3E-4AC2-BBA0-D553311DBCB5}"/>
    <hyperlink ref="G4:H4" location="'Netto nåverdier oppsummering'!A97" display="3. Effekt av endring i karbonpris" xr:uid="{997EC8D0-D686-499D-A40E-E5E7EDE83B55}"/>
    <hyperlink ref="B120" location="'Netto nåverdier oppsummering'!A1" display="Tilbake" xr:uid="{281DC052-D814-4BCD-BBB2-D285BFE9A71F}"/>
    <hyperlink ref="B121" location="Meny!A1" display="Tilbake til Meny" xr:uid="{1005761D-AB6E-4695-8C83-B066C715FE83}"/>
    <hyperlink ref="B96" location="'Netto nåverdier oppsummering'!A1" display="Tilbake" xr:uid="{27008FA3-EFF8-40C5-A934-9D8DD048CAC3}"/>
    <hyperlink ref="B97" location="Meny!A1" display="Tilbake til Meny" xr:uid="{13F7269D-469E-45BE-B612-15D4EBE0EAC7}"/>
    <hyperlink ref="B70" location="'Netto nåverdier oppsummering'!A1" display="Tilbake" xr:uid="{7607C17B-A4B1-40C9-9AB2-6F083ABADAB8}"/>
    <hyperlink ref="B71" location="Meny!A1" display="Tilbake til Meny" xr:uid="{28544F1D-46EA-45A2-A9A5-3BEAB0345667}"/>
    <hyperlink ref="G7" location="Meny!A1" display="Tilbake til Meny" xr:uid="{6B1EAB43-3923-4730-B4C5-5313529BEE2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AD83F-915B-4E37-B8D6-8322B9E64D31}">
  <dimension ref="A1:S31"/>
  <sheetViews>
    <sheetView showGridLines="0" zoomScale="110" zoomScaleNormal="110" workbookViewId="0">
      <selection activeCell="C1" sqref="C1"/>
    </sheetView>
  </sheetViews>
  <sheetFormatPr baseColWidth="10" defaultColWidth="11.42578125" defaultRowHeight="15" x14ac:dyDescent="0.25"/>
  <cols>
    <col min="1" max="1" width="51.28515625" bestFit="1" customWidth="1"/>
    <col min="2" max="2" width="10.5703125" customWidth="1"/>
    <col min="3" max="4" width="16.85546875" bestFit="1" customWidth="1"/>
    <col min="5" max="6" width="13.42578125" bestFit="1" customWidth="1"/>
    <col min="7" max="8" width="12.85546875" bestFit="1" customWidth="1"/>
    <col min="9" max="18" width="13.28515625" bestFit="1" customWidth="1"/>
    <col min="19" max="19" width="15.42578125" bestFit="1" customWidth="1"/>
  </cols>
  <sheetData>
    <row r="1" spans="1:19" ht="21.75" thickBot="1" x14ac:dyDescent="0.4">
      <c r="A1" s="30" t="s">
        <v>27</v>
      </c>
      <c r="B1" s="30"/>
      <c r="C1" s="122" t="s">
        <v>32</v>
      </c>
    </row>
    <row r="2" spans="1:19" x14ac:dyDescent="0.25">
      <c r="A2" s="1" t="s">
        <v>66</v>
      </c>
      <c r="B2" s="1"/>
    </row>
    <row r="3" spans="1:19" s="34" customFormat="1" ht="12.75" x14ac:dyDescent="0.2">
      <c r="A3" s="42" t="s">
        <v>67</v>
      </c>
      <c r="B3" s="43">
        <v>0.04</v>
      </c>
      <c r="E3" s="76"/>
    </row>
    <row r="4" spans="1:19" s="34" customFormat="1" ht="12.75" x14ac:dyDescent="0.2">
      <c r="B4" s="34" t="s">
        <v>68</v>
      </c>
      <c r="C4" s="35"/>
    </row>
    <row r="5" spans="1:19" s="34" customFormat="1" ht="12.75" x14ac:dyDescent="0.2">
      <c r="A5" s="172" t="s">
        <v>69</v>
      </c>
      <c r="B5" s="173"/>
    </row>
    <row r="6" spans="1:19" s="34" customFormat="1" ht="14.25" x14ac:dyDescent="0.25">
      <c r="A6" s="38" t="s">
        <v>70</v>
      </c>
      <c r="B6" s="39">
        <v>850000</v>
      </c>
    </row>
    <row r="7" spans="1:19" s="34" customFormat="1" ht="14.25" x14ac:dyDescent="0.25">
      <c r="A7" s="38" t="s">
        <v>71</v>
      </c>
      <c r="B7" s="39">
        <v>580</v>
      </c>
    </row>
    <row r="8" spans="1:19" s="34" customFormat="1" ht="12.75" x14ac:dyDescent="0.2">
      <c r="A8" s="40" t="s">
        <v>72</v>
      </c>
      <c r="B8" s="41">
        <f>SUM(B6:B7)</f>
        <v>850580</v>
      </c>
    </row>
    <row r="9" spans="1:19" s="34" customFormat="1" ht="12.75" x14ac:dyDescent="0.2">
      <c r="A9" s="172" t="s">
        <v>73</v>
      </c>
      <c r="B9" s="173"/>
    </row>
    <row r="10" spans="1:19" s="34" customFormat="1" ht="14.25" x14ac:dyDescent="0.25">
      <c r="A10" s="38" t="s">
        <v>70</v>
      </c>
      <c r="B10" s="39">
        <v>50000</v>
      </c>
    </row>
    <row r="12" spans="1:19" ht="15.75" x14ac:dyDescent="0.25">
      <c r="A12" s="50" t="s">
        <v>74</v>
      </c>
      <c r="B12" s="66"/>
      <c r="R12" s="49" t="s">
        <v>65</v>
      </c>
      <c r="S12" s="49" t="s">
        <v>75</v>
      </c>
    </row>
    <row r="13" spans="1:19" s="61" customFormat="1" ht="12.75" x14ac:dyDescent="0.2">
      <c r="A13" s="49" t="s">
        <v>76</v>
      </c>
      <c r="B13" s="49" t="s">
        <v>21</v>
      </c>
      <c r="C13" s="49" t="s">
        <v>77</v>
      </c>
      <c r="D13" s="49">
        <v>2030</v>
      </c>
      <c r="E13" s="49">
        <v>2031</v>
      </c>
      <c r="F13" s="49">
        <v>2032</v>
      </c>
      <c r="G13" s="49">
        <v>2033</v>
      </c>
      <c r="H13" s="49">
        <v>2034</v>
      </c>
      <c r="I13" s="49">
        <v>2035</v>
      </c>
      <c r="J13" s="49">
        <v>2036</v>
      </c>
      <c r="K13" s="49">
        <v>2037</v>
      </c>
      <c r="L13" s="49">
        <v>2038</v>
      </c>
      <c r="M13" s="49">
        <v>2039</v>
      </c>
      <c r="N13" s="49">
        <v>2040</v>
      </c>
      <c r="O13" s="49">
        <v>2041</v>
      </c>
      <c r="P13" s="49">
        <v>2042</v>
      </c>
      <c r="Q13" s="49">
        <v>2043</v>
      </c>
      <c r="R13" s="49">
        <v>2044</v>
      </c>
      <c r="S13" s="49">
        <v>2044</v>
      </c>
    </row>
    <row r="14" spans="1:19" s="94" customFormat="1" ht="12.75" x14ac:dyDescent="0.2">
      <c r="A14" s="42" t="s">
        <v>78</v>
      </c>
      <c r="B14" s="93"/>
      <c r="C14" s="92"/>
      <c r="D14" s="39">
        <f>-$B$10*Karbonprisbaner!I4</f>
        <v>-111500000</v>
      </c>
      <c r="E14" s="39">
        <f>-$B$10*Karbonprisbaner!J4</f>
        <v>-111500000</v>
      </c>
      <c r="F14" s="39">
        <f>-$B$10*Karbonprisbaner!K4</f>
        <v>-111500000</v>
      </c>
      <c r="G14" s="39">
        <f>-$B$10*Karbonprisbaner!L4</f>
        <v>-111500000</v>
      </c>
      <c r="H14" s="39">
        <f>-$B$10*Karbonprisbaner!M4</f>
        <v>-111500000</v>
      </c>
      <c r="I14" s="39">
        <f>-$B$10*Karbonprisbaner!N4</f>
        <v>-111500000</v>
      </c>
      <c r="J14" s="39">
        <f>-$B$10*Karbonprisbaner!O4</f>
        <v>-111500000</v>
      </c>
      <c r="K14" s="39">
        <f>-$B$10*Karbonprisbaner!P4</f>
        <v>-111500000</v>
      </c>
      <c r="L14" s="39">
        <f>-$B$10*Karbonprisbaner!Q4</f>
        <v>-111500000</v>
      </c>
      <c r="M14" s="39">
        <f>-$B$10*Karbonprisbaner!R4</f>
        <v>-111500000</v>
      </c>
      <c r="N14" s="39">
        <f>-$B$10*Karbonprisbaner!S4</f>
        <v>-111500000</v>
      </c>
      <c r="O14" s="39">
        <f>-$B$10*Karbonprisbaner!T4</f>
        <v>-111500000</v>
      </c>
      <c r="P14" s="39">
        <f>-$B$10*Karbonprisbaner!U4</f>
        <v>-111500000</v>
      </c>
      <c r="Q14" s="39">
        <f>-$B$10*Karbonprisbaner!V4</f>
        <v>-111500000</v>
      </c>
      <c r="R14" s="39">
        <f>-$B$10*Karbonprisbaner!W4</f>
        <v>-111500000</v>
      </c>
      <c r="S14" s="39"/>
    </row>
    <row r="15" spans="1:19" s="34" customFormat="1" ht="12.75" x14ac:dyDescent="0.2">
      <c r="A15" s="42" t="s">
        <v>35</v>
      </c>
      <c r="B15" s="88">
        <v>1</v>
      </c>
      <c r="C15" s="39"/>
      <c r="D15" s="39">
        <f>$B$8*Karbonprisbaner!I4</f>
        <v>1896793400</v>
      </c>
      <c r="E15" s="39">
        <f>$B$8*Karbonprisbaner!J4</f>
        <v>1896793400</v>
      </c>
      <c r="F15" s="39">
        <f>$B$8*Karbonprisbaner!K4</f>
        <v>1896793400</v>
      </c>
      <c r="G15" s="39">
        <f>$B$8*Karbonprisbaner!L4</f>
        <v>1896793400</v>
      </c>
      <c r="H15" s="39">
        <f>$B$8*Karbonprisbaner!M4</f>
        <v>1896793400</v>
      </c>
      <c r="I15" s="39">
        <f>$B$8*Karbonprisbaner!N4</f>
        <v>1896793400</v>
      </c>
      <c r="J15" s="39">
        <f>$B$8*Karbonprisbaner!O4</f>
        <v>1896793400</v>
      </c>
      <c r="K15" s="39">
        <f>$B$8*Karbonprisbaner!P4</f>
        <v>1896793400</v>
      </c>
      <c r="L15" s="39">
        <f>$B$8*Karbonprisbaner!Q4</f>
        <v>1896793400</v>
      </c>
      <c r="M15" s="39">
        <f>$B$8*Karbonprisbaner!R4</f>
        <v>1896793400</v>
      </c>
      <c r="N15" s="39">
        <f>$B$8*Karbonprisbaner!S4</f>
        <v>1896793400</v>
      </c>
      <c r="O15" s="39">
        <f>$B$8*Karbonprisbaner!T4</f>
        <v>1896793400</v>
      </c>
      <c r="P15" s="39">
        <f>$B$8*Karbonprisbaner!U4</f>
        <v>1896793400</v>
      </c>
      <c r="Q15" s="39">
        <f>$B$8*Karbonprisbaner!V4</f>
        <v>1896793400</v>
      </c>
      <c r="R15" s="39">
        <f>$B$8*Karbonprisbaner!W4</f>
        <v>1896793400</v>
      </c>
      <c r="S15" s="39">
        <v>0</v>
      </c>
    </row>
    <row r="16" spans="1:19" s="34" customFormat="1" ht="12.75" x14ac:dyDescent="0.2">
      <c r="A16" s="42" t="s">
        <v>36</v>
      </c>
      <c r="B16" s="89">
        <v>2</v>
      </c>
      <c r="C16" s="39"/>
      <c r="D16" s="39">
        <f t="shared" ref="D16:Q16" si="0">((6.5*10^9)/26.97)*3.4*9.6</f>
        <v>7866518353.7263622</v>
      </c>
      <c r="E16" s="39">
        <f t="shared" si="0"/>
        <v>7866518353.7263622</v>
      </c>
      <c r="F16" s="39">
        <f t="shared" si="0"/>
        <v>7866518353.7263622</v>
      </c>
      <c r="G16" s="39">
        <f t="shared" si="0"/>
        <v>7866518353.7263622</v>
      </c>
      <c r="H16" s="39">
        <f t="shared" si="0"/>
        <v>7866518353.7263622</v>
      </c>
      <c r="I16" s="39">
        <f t="shared" si="0"/>
        <v>7866518353.7263622</v>
      </c>
      <c r="J16" s="39">
        <f t="shared" si="0"/>
        <v>7866518353.7263622</v>
      </c>
      <c r="K16" s="39">
        <f t="shared" si="0"/>
        <v>7866518353.7263622</v>
      </c>
      <c r="L16" s="39">
        <f t="shared" si="0"/>
        <v>7866518353.7263622</v>
      </c>
      <c r="M16" s="39">
        <f t="shared" si="0"/>
        <v>7866518353.7263622</v>
      </c>
      <c r="N16" s="39">
        <f t="shared" si="0"/>
        <v>7866518353.7263622</v>
      </c>
      <c r="O16" s="39">
        <f t="shared" si="0"/>
        <v>7866518353.7263622</v>
      </c>
      <c r="P16" s="39">
        <f t="shared" si="0"/>
        <v>7866518353.7263622</v>
      </c>
      <c r="Q16" s="39">
        <f t="shared" si="0"/>
        <v>7866518353.7263622</v>
      </c>
      <c r="R16" s="39">
        <f>((5.8*10^9)/26.97)*3.4*9.6</f>
        <v>7019354838.7096767</v>
      </c>
      <c r="S16" s="39">
        <v>0</v>
      </c>
    </row>
    <row r="17" spans="1:19" s="34" customFormat="1" ht="12.75" x14ac:dyDescent="0.2">
      <c r="A17" s="42" t="s">
        <v>37</v>
      </c>
      <c r="B17" s="89">
        <v>3</v>
      </c>
      <c r="C17" s="39"/>
      <c r="D17" s="39">
        <f t="shared" ref="D17:I17" si="1">(-19.8*10^9)*0.08</f>
        <v>-1584000000</v>
      </c>
      <c r="E17" s="39">
        <f t="shared" si="1"/>
        <v>-1584000000</v>
      </c>
      <c r="F17" s="39">
        <f t="shared" si="1"/>
        <v>-1584000000</v>
      </c>
      <c r="G17" s="39">
        <f t="shared" si="1"/>
        <v>-1584000000</v>
      </c>
      <c r="H17" s="39">
        <f t="shared" si="1"/>
        <v>-1584000000</v>
      </c>
      <c r="I17" s="39">
        <f t="shared" si="1"/>
        <v>-1584000000</v>
      </c>
      <c r="J17" s="39">
        <f>(-19.8*10^9)*0.05</f>
        <v>-990000000</v>
      </c>
      <c r="K17" s="39">
        <f t="shared" ref="K17:R17" si="2">(-19.8*10^9)*0.05</f>
        <v>-990000000</v>
      </c>
      <c r="L17" s="39">
        <f t="shared" si="2"/>
        <v>-990000000</v>
      </c>
      <c r="M17" s="39">
        <f t="shared" si="2"/>
        <v>-990000000</v>
      </c>
      <c r="N17" s="39">
        <f t="shared" si="2"/>
        <v>-990000000</v>
      </c>
      <c r="O17" s="39">
        <f t="shared" si="2"/>
        <v>-990000000</v>
      </c>
      <c r="P17" s="39">
        <f t="shared" si="2"/>
        <v>-990000000</v>
      </c>
      <c r="Q17" s="39">
        <f t="shared" si="2"/>
        <v>-990000000</v>
      </c>
      <c r="R17" s="39">
        <f t="shared" si="2"/>
        <v>-990000000</v>
      </c>
      <c r="S17" s="39">
        <v>0</v>
      </c>
    </row>
    <row r="18" spans="1:19" s="34" customFormat="1" x14ac:dyDescent="0.25">
      <c r="A18" s="42" t="s">
        <v>38</v>
      </c>
      <c r="B18" s="85">
        <v>4</v>
      </c>
      <c r="C18" s="39"/>
      <c r="D18" s="39">
        <f>-(2.6*10^9)*0.8 -(2.6*10^9)*0.08</f>
        <v>-2288000000</v>
      </c>
      <c r="E18" s="39">
        <f t="shared" ref="E18:R18" si="3">-(2.6*10^9)*0.8 -(2.6*10^9)*0.08</f>
        <v>-2288000000</v>
      </c>
      <c r="F18" s="39">
        <f t="shared" si="3"/>
        <v>-2288000000</v>
      </c>
      <c r="G18" s="39">
        <f t="shared" si="3"/>
        <v>-2288000000</v>
      </c>
      <c r="H18" s="39">
        <f t="shared" si="3"/>
        <v>-2288000000</v>
      </c>
      <c r="I18" s="39">
        <f t="shared" si="3"/>
        <v>-2288000000</v>
      </c>
      <c r="J18" s="39">
        <f>-(2.6*10^9)*0.8 -(2.6*10^9)*0.08</f>
        <v>-2288000000</v>
      </c>
      <c r="K18" s="39">
        <f t="shared" si="3"/>
        <v>-2288000000</v>
      </c>
      <c r="L18" s="39">
        <f t="shared" si="3"/>
        <v>-2288000000</v>
      </c>
      <c r="M18" s="39">
        <f t="shared" si="3"/>
        <v>-2288000000</v>
      </c>
      <c r="N18" s="39">
        <f t="shared" si="3"/>
        <v>-2288000000</v>
      </c>
      <c r="O18" s="39">
        <f t="shared" si="3"/>
        <v>-2288000000</v>
      </c>
      <c r="P18" s="39">
        <f t="shared" si="3"/>
        <v>-2288000000</v>
      </c>
      <c r="Q18" s="39">
        <f t="shared" si="3"/>
        <v>-2288000000</v>
      </c>
      <c r="R18" s="39">
        <f t="shared" si="3"/>
        <v>-2288000000</v>
      </c>
      <c r="S18" s="39">
        <v>0</v>
      </c>
    </row>
    <row r="19" spans="1:19" s="34" customFormat="1" ht="12.75" x14ac:dyDescent="0.2">
      <c r="A19" s="42" t="s">
        <v>39</v>
      </c>
      <c r="B19" s="42"/>
      <c r="C19" s="39">
        <v>-8500000000</v>
      </c>
      <c r="D19" s="39"/>
      <c r="E19" s="39"/>
      <c r="F19" s="39"/>
      <c r="G19" s="39"/>
      <c r="H19" s="39"/>
      <c r="I19" s="39"/>
      <c r="J19" s="39"/>
      <c r="K19" s="39"/>
      <c r="L19" s="39"/>
      <c r="M19" s="39"/>
      <c r="N19" s="39"/>
      <c r="O19" s="39"/>
      <c r="P19" s="39"/>
      <c r="Q19" s="39"/>
      <c r="R19" s="39"/>
      <c r="S19" s="39"/>
    </row>
    <row r="20" spans="1:19" s="34" customFormat="1" ht="12.75" x14ac:dyDescent="0.2">
      <c r="A20" s="42" t="s">
        <v>40</v>
      </c>
      <c r="B20" s="42"/>
      <c r="C20" s="39">
        <v>-4700000000</v>
      </c>
      <c r="D20" s="39"/>
      <c r="E20" s="39"/>
      <c r="F20" s="39"/>
      <c r="G20" s="39"/>
      <c r="H20" s="39"/>
      <c r="I20" s="39"/>
      <c r="J20" s="39"/>
      <c r="K20" s="39"/>
      <c r="L20" s="39"/>
      <c r="M20" s="39"/>
      <c r="N20" s="39"/>
      <c r="O20" s="39"/>
      <c r="P20" s="39"/>
      <c r="Q20" s="39"/>
      <c r="R20" s="39"/>
      <c r="S20" s="39"/>
    </row>
    <row r="21" spans="1:19" s="34" customFormat="1" x14ac:dyDescent="0.25">
      <c r="A21" s="42" t="s">
        <v>41</v>
      </c>
      <c r="B21" s="85">
        <v>8</v>
      </c>
      <c r="C21" s="39">
        <f>-((2.7*0.5)+(3.5*0.5))*10^9</f>
        <v>-3100000000</v>
      </c>
      <c r="D21" s="39"/>
      <c r="E21" s="39"/>
      <c r="F21" s="39"/>
      <c r="G21" s="39"/>
      <c r="H21" s="39"/>
      <c r="I21" s="39"/>
      <c r="J21" s="39"/>
      <c r="K21" s="39"/>
      <c r="L21" s="39"/>
      <c r="M21" s="39"/>
      <c r="N21" s="39"/>
      <c r="O21" s="39"/>
      <c r="P21" s="39"/>
      <c r="Q21" s="39"/>
      <c r="R21" s="39"/>
      <c r="S21" s="39"/>
    </row>
    <row r="22" spans="1:19" s="34" customFormat="1" ht="12.75" x14ac:dyDescent="0.2">
      <c r="A22" s="42" t="s">
        <v>42</v>
      </c>
      <c r="B22" s="42"/>
      <c r="C22" s="39">
        <v>-500000000</v>
      </c>
      <c r="D22" s="39"/>
      <c r="E22" s="39"/>
      <c r="F22" s="39"/>
      <c r="G22" s="39"/>
      <c r="H22" s="39"/>
      <c r="I22" s="39"/>
      <c r="J22" s="39"/>
      <c r="K22" s="39"/>
      <c r="L22" s="39"/>
      <c r="M22" s="39"/>
      <c r="N22" s="39"/>
      <c r="O22" s="39"/>
      <c r="P22" s="39"/>
      <c r="Q22" s="39"/>
      <c r="R22" s="39"/>
      <c r="S22" s="39"/>
    </row>
    <row r="23" spans="1:19" s="34" customFormat="1" ht="12.75" x14ac:dyDescent="0.2">
      <c r="A23" s="42" t="s">
        <v>65</v>
      </c>
      <c r="B23" s="42"/>
      <c r="C23" s="39"/>
      <c r="D23" s="39"/>
      <c r="E23" s="39"/>
      <c r="F23" s="39"/>
      <c r="G23" s="39"/>
      <c r="H23" s="39"/>
      <c r="I23" s="39"/>
      <c r="J23" s="39"/>
      <c r="K23" s="39"/>
      <c r="L23" s="39"/>
      <c r="M23" s="39"/>
      <c r="N23" s="39"/>
      <c r="O23" s="39"/>
      <c r="P23" s="39"/>
      <c r="Q23" s="39"/>
      <c r="R23" s="39"/>
      <c r="S23" s="39">
        <f>+'NNV- Elektrifisering av Melkøya'!R24/(1+'NNV- Elektrifisering av Melkøya'!$B$3)^15</f>
        <v>3068751585.9383249</v>
      </c>
    </row>
    <row r="24" spans="1:19" s="46" customFormat="1" ht="12.75" x14ac:dyDescent="0.2">
      <c r="A24" s="48" t="s">
        <v>74</v>
      </c>
      <c r="B24" s="48"/>
      <c r="C24" s="41">
        <f>SUM(C15:C22)</f>
        <v>-16800000000</v>
      </c>
      <c r="D24" s="41">
        <f>SUM(D14:D22)</f>
        <v>5779811753.7263622</v>
      </c>
      <c r="E24" s="41">
        <f t="shared" ref="E24:Q24" si="4">SUM(E14:E22)</f>
        <v>5779811753.7263622</v>
      </c>
      <c r="F24" s="41">
        <f t="shared" si="4"/>
        <v>5779811753.7263622</v>
      </c>
      <c r="G24" s="41">
        <f t="shared" si="4"/>
        <v>5779811753.7263622</v>
      </c>
      <c r="H24" s="41">
        <f t="shared" si="4"/>
        <v>5779811753.7263622</v>
      </c>
      <c r="I24" s="41">
        <f t="shared" si="4"/>
        <v>5779811753.7263622</v>
      </c>
      <c r="J24" s="41">
        <f t="shared" si="4"/>
        <v>6373811753.7263622</v>
      </c>
      <c r="K24" s="41">
        <f t="shared" si="4"/>
        <v>6373811753.7263622</v>
      </c>
      <c r="L24" s="41">
        <f t="shared" si="4"/>
        <v>6373811753.7263622</v>
      </c>
      <c r="M24" s="41">
        <f t="shared" si="4"/>
        <v>6373811753.7263622</v>
      </c>
      <c r="N24" s="41">
        <f t="shared" si="4"/>
        <v>6373811753.7263622</v>
      </c>
      <c r="O24" s="41">
        <f t="shared" si="4"/>
        <v>6373811753.7263622</v>
      </c>
      <c r="P24" s="41">
        <f t="shared" si="4"/>
        <v>6373811753.7263622</v>
      </c>
      <c r="Q24" s="41">
        <f t="shared" si="4"/>
        <v>6373811753.7263622</v>
      </c>
      <c r="R24" s="41">
        <f>SUM(R14:R22)</f>
        <v>5526648238.7096767</v>
      </c>
    </row>
    <row r="26" spans="1:19" x14ac:dyDescent="0.25">
      <c r="A26" s="170" t="s">
        <v>79</v>
      </c>
      <c r="B26" s="171"/>
      <c r="C26" s="45">
        <f>+C24+NPV($B$3,D24:R24)</f>
        <v>50482279376.846725</v>
      </c>
    </row>
    <row r="27" spans="1:19" x14ac:dyDescent="0.25">
      <c r="D27" s="24"/>
      <c r="S27" s="24"/>
    </row>
    <row r="28" spans="1:19" x14ac:dyDescent="0.25">
      <c r="D28" s="95"/>
    </row>
    <row r="29" spans="1:19" x14ac:dyDescent="0.25">
      <c r="C29" s="24"/>
      <c r="D29" s="24"/>
      <c r="E29" s="24"/>
      <c r="F29" s="24"/>
      <c r="G29" s="24"/>
      <c r="H29" s="24"/>
      <c r="I29" s="24"/>
      <c r="J29" s="24"/>
      <c r="K29" s="24"/>
      <c r="L29" s="24"/>
      <c r="M29" s="24"/>
      <c r="N29" s="24"/>
      <c r="O29" s="24"/>
      <c r="P29" s="24"/>
      <c r="Q29" s="24"/>
      <c r="R29" s="24"/>
    </row>
    <row r="30" spans="1:19" x14ac:dyDescent="0.25">
      <c r="C30" s="24"/>
    </row>
    <row r="31" spans="1:19" x14ac:dyDescent="0.25">
      <c r="C31" s="24"/>
    </row>
  </sheetData>
  <mergeCells count="3">
    <mergeCell ref="A26:B26"/>
    <mergeCell ref="A5:B5"/>
    <mergeCell ref="A9:B9"/>
  </mergeCells>
  <hyperlinks>
    <hyperlink ref="B17" location="Noter!A1" display="Noter!A1" xr:uid="{9FCA13D3-3C23-4A81-9FB4-DA0EA9BCF8B2}"/>
    <hyperlink ref="B16" location="Noter!A1" display="Noter!A1" xr:uid="{C0E2733F-F255-45A4-8866-4FBC4DE0380D}"/>
    <hyperlink ref="B15" location="Noter!A1" display="Noter!A1" xr:uid="{793CD628-D4A7-4CC3-B964-8A66BF9108A7}"/>
    <hyperlink ref="B18" location="Noter!A1" display="Noter!A1" xr:uid="{12ADA57C-0217-4EF0-A7D9-D56BCBDFBB1A}"/>
    <hyperlink ref="B21" location="Noter!A1" display="Noter!A1" xr:uid="{88C9DF36-9FE8-484A-BCD4-F23D9CA37EBA}"/>
    <hyperlink ref="C1" location="Meny!A1" display="Tilbake til Meny" xr:uid="{26123DCB-EBB0-4A73-B7B0-23004B17072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188C-FDD0-4068-A82E-D14AC811BDB6}">
  <dimension ref="A1:Q61"/>
  <sheetViews>
    <sheetView topLeftCell="A38" zoomScale="120" zoomScaleNormal="120" workbookViewId="0">
      <selection activeCell="B67" sqref="B67"/>
    </sheetView>
  </sheetViews>
  <sheetFormatPr baseColWidth="10" defaultColWidth="11.42578125" defaultRowHeight="15" x14ac:dyDescent="0.25"/>
  <cols>
    <col min="1" max="1" width="38.85546875" bestFit="1" customWidth="1"/>
    <col min="2" max="2" width="16.85546875" bestFit="1" customWidth="1"/>
    <col min="3" max="3" width="15.42578125" bestFit="1" customWidth="1"/>
    <col min="4" max="7" width="13.7109375" customWidth="1"/>
    <col min="8" max="8" width="14.28515625" bestFit="1" customWidth="1"/>
    <col min="9" max="17" width="14.7109375" customWidth="1"/>
  </cols>
  <sheetData>
    <row r="1" spans="1:17" ht="21" x14ac:dyDescent="0.35">
      <c r="A1" s="30" t="s">
        <v>80</v>
      </c>
    </row>
    <row r="2" spans="1:17" ht="15.75" x14ac:dyDescent="0.25">
      <c r="A2" s="27" t="s">
        <v>81</v>
      </c>
    </row>
    <row r="3" spans="1:17" ht="15.75" x14ac:dyDescent="0.25">
      <c r="A3" s="23" t="s">
        <v>82</v>
      </c>
      <c r="B3" s="26">
        <v>0.04</v>
      </c>
    </row>
    <row r="4" spans="1:17" ht="15.75" x14ac:dyDescent="0.25">
      <c r="A4" s="23"/>
    </row>
    <row r="5" spans="1:17" x14ac:dyDescent="0.25">
      <c r="A5" s="25" t="s">
        <v>76</v>
      </c>
      <c r="C5">
        <v>2030</v>
      </c>
      <c r="D5">
        <v>2031</v>
      </c>
      <c r="E5">
        <v>2032</v>
      </c>
      <c r="F5">
        <v>2033</v>
      </c>
      <c r="G5">
        <v>2034</v>
      </c>
      <c r="H5">
        <v>2035</v>
      </c>
      <c r="I5">
        <v>2036</v>
      </c>
      <c r="J5">
        <v>2037</v>
      </c>
      <c r="K5">
        <v>2038</v>
      </c>
      <c r="L5">
        <v>2039</v>
      </c>
      <c r="M5">
        <v>2040</v>
      </c>
      <c r="N5">
        <v>2041</v>
      </c>
      <c r="O5">
        <v>2042</v>
      </c>
      <c r="P5">
        <v>2043</v>
      </c>
      <c r="Q5">
        <v>2044</v>
      </c>
    </row>
    <row r="6" spans="1:17" x14ac:dyDescent="0.25">
      <c r="A6" t="s">
        <v>83</v>
      </c>
      <c r="B6" s="24"/>
      <c r="C6" s="24">
        <f>+$C$19*Karbonprisbaner!I8</f>
        <v>643889060</v>
      </c>
      <c r="D6" s="24">
        <f>+$C$19*Karbonprisbaner!J8</f>
        <v>669406460</v>
      </c>
      <c r="E6" s="24">
        <f>+$C$19*Karbonprisbaner!K8</f>
        <v>696625020</v>
      </c>
      <c r="F6" s="24">
        <f>+$C$19*Karbonprisbaner!L8</f>
        <v>724694160</v>
      </c>
      <c r="G6" s="24">
        <f>+$C$19*Karbonprisbaner!M8</f>
        <v>753613880</v>
      </c>
      <c r="H6" s="24">
        <f>+$C$19*Karbonprisbaner!N8</f>
        <v>783384180</v>
      </c>
      <c r="I6" s="24">
        <f>+$C$19*Karbonprisbaner!O8</f>
        <v>814855640</v>
      </c>
      <c r="J6" s="24">
        <f>+$C$19*Karbonprisbaner!P8</f>
        <v>847177680</v>
      </c>
      <c r="K6" s="24">
        <f>+$C$19*Karbonprisbaner!Q8</f>
        <v>881200880</v>
      </c>
      <c r="L6" s="24">
        <f>+$C$19*Karbonprisbaner!R8</f>
        <v>916925240</v>
      </c>
      <c r="M6" s="24">
        <f>+$C$19*Karbonprisbaner!S8</f>
        <v>953500180</v>
      </c>
      <c r="N6" s="24">
        <f>+$C$19*Karbonprisbaner!T8</f>
        <v>991776280</v>
      </c>
      <c r="O6" s="24">
        <f>+$C$19*Karbonprisbaner!U8</f>
        <v>1030902960</v>
      </c>
      <c r="P6" s="24">
        <f>+$C$19*Karbonprisbaner!V8</f>
        <v>1072581380</v>
      </c>
      <c r="Q6" s="24">
        <f>+$C$19*Karbonprisbaner!W8</f>
        <v>1115110380</v>
      </c>
    </row>
    <row r="7" spans="1:17" x14ac:dyDescent="0.25">
      <c r="A7" t="s">
        <v>37</v>
      </c>
      <c r="B7" s="24"/>
      <c r="C7" s="24">
        <f t="shared" ref="C7:H7" si="0">(-19.8*10^9)*0.08</f>
        <v>-1584000000</v>
      </c>
      <c r="D7" s="24">
        <f t="shared" si="0"/>
        <v>-1584000000</v>
      </c>
      <c r="E7" s="24">
        <f t="shared" si="0"/>
        <v>-1584000000</v>
      </c>
      <c r="F7" s="24">
        <f t="shared" si="0"/>
        <v>-1584000000</v>
      </c>
      <c r="G7" s="24">
        <f t="shared" si="0"/>
        <v>-1584000000</v>
      </c>
      <c r="H7" s="24">
        <f t="shared" si="0"/>
        <v>-1584000000</v>
      </c>
      <c r="I7" s="24">
        <f>-(19.8*10^9)*0.05</f>
        <v>-990000000</v>
      </c>
      <c r="J7" s="24">
        <f t="shared" ref="J7:Q7" si="1">-(19.8*10^9)*0.05</f>
        <v>-990000000</v>
      </c>
      <c r="K7" s="24">
        <f t="shared" si="1"/>
        <v>-990000000</v>
      </c>
      <c r="L7" s="24">
        <f t="shared" si="1"/>
        <v>-990000000</v>
      </c>
      <c r="M7" s="24">
        <f t="shared" si="1"/>
        <v>-990000000</v>
      </c>
      <c r="N7" s="24">
        <f t="shared" si="1"/>
        <v>-990000000</v>
      </c>
      <c r="O7" s="24">
        <f t="shared" si="1"/>
        <v>-990000000</v>
      </c>
      <c r="P7" s="24">
        <f t="shared" si="1"/>
        <v>-990000000</v>
      </c>
      <c r="Q7" s="24">
        <f t="shared" si="1"/>
        <v>-990000000</v>
      </c>
    </row>
    <row r="8" spans="1:17" x14ac:dyDescent="0.25">
      <c r="A8" t="s">
        <v>36</v>
      </c>
      <c r="B8" s="24"/>
      <c r="C8" s="24">
        <f>((6.5*10^9)/26.97)*3.4*9.6</f>
        <v>7866518353.7263622</v>
      </c>
      <c r="D8" s="24">
        <f t="shared" ref="D8:P8" si="2">((6.5*10^9)/26.97)*3.4*9.6</f>
        <v>7866518353.7263622</v>
      </c>
      <c r="E8" s="24">
        <f t="shared" si="2"/>
        <v>7866518353.7263622</v>
      </c>
      <c r="F8" s="24">
        <f t="shared" si="2"/>
        <v>7866518353.7263622</v>
      </c>
      <c r="G8" s="24">
        <f t="shared" si="2"/>
        <v>7866518353.7263622</v>
      </c>
      <c r="H8" s="24">
        <f t="shared" si="2"/>
        <v>7866518353.7263622</v>
      </c>
      <c r="I8" s="24">
        <f t="shared" si="2"/>
        <v>7866518353.7263622</v>
      </c>
      <c r="J8" s="24">
        <f t="shared" si="2"/>
        <v>7866518353.7263622</v>
      </c>
      <c r="K8" s="24">
        <f t="shared" si="2"/>
        <v>7866518353.7263622</v>
      </c>
      <c r="L8" s="24">
        <f t="shared" si="2"/>
        <v>7866518353.7263622</v>
      </c>
      <c r="M8" s="24">
        <f t="shared" si="2"/>
        <v>7866518353.7263622</v>
      </c>
      <c r="N8" s="24">
        <f t="shared" si="2"/>
        <v>7866518353.7263622</v>
      </c>
      <c r="O8" s="24">
        <f t="shared" si="2"/>
        <v>7866518353.7263622</v>
      </c>
      <c r="P8" s="24">
        <f t="shared" si="2"/>
        <v>7866518353.7263622</v>
      </c>
      <c r="Q8" s="24">
        <f>((5.8*10^9)/26.97)*3.4*9.6</f>
        <v>7019354838.7096767</v>
      </c>
    </row>
    <row r="9" spans="1:17" x14ac:dyDescent="0.25">
      <c r="A9" t="s">
        <v>39</v>
      </c>
      <c r="B9" s="24">
        <f>-6.2*10^9</f>
        <v>-6200000000</v>
      </c>
      <c r="C9" s="24"/>
      <c r="D9" s="24"/>
      <c r="E9" s="24"/>
      <c r="F9" s="24"/>
      <c r="G9" s="24"/>
      <c r="H9" s="24"/>
      <c r="I9" s="24"/>
      <c r="J9" s="24"/>
      <c r="K9" s="24"/>
      <c r="L9" s="24"/>
      <c r="M9" s="24"/>
      <c r="N9" s="24"/>
      <c r="O9" s="24"/>
      <c r="P9" s="24"/>
      <c r="Q9" s="24"/>
    </row>
    <row r="10" spans="1:17" x14ac:dyDescent="0.25">
      <c r="A10" t="s">
        <v>40</v>
      </c>
      <c r="B10" s="24">
        <f>-7*10^9</f>
        <v>-7000000000</v>
      </c>
      <c r="C10" s="24"/>
      <c r="D10" s="24"/>
      <c r="E10" s="24"/>
      <c r="F10" s="24"/>
      <c r="G10" s="24"/>
      <c r="H10" s="24"/>
      <c r="I10" s="24"/>
      <c r="J10" s="24"/>
      <c r="K10" s="24"/>
      <c r="L10" s="24"/>
      <c r="M10" s="24"/>
      <c r="N10" s="24"/>
      <c r="O10" s="24"/>
      <c r="P10" s="24"/>
      <c r="Q10" s="24"/>
    </row>
    <row r="11" spans="1:17" x14ac:dyDescent="0.25">
      <c r="A11" t="s">
        <v>41</v>
      </c>
      <c r="B11" s="24">
        <v>-1355000000</v>
      </c>
    </row>
    <row r="12" spans="1:17" x14ac:dyDescent="0.25">
      <c r="A12" t="s">
        <v>42</v>
      </c>
      <c r="B12" s="24">
        <f>-4*10^8</f>
        <v>-400000000</v>
      </c>
    </row>
    <row r="13" spans="1:17" s="28" customFormat="1" x14ac:dyDescent="0.25">
      <c r="A13" s="31" t="s">
        <v>84</v>
      </c>
      <c r="B13" s="29">
        <f>SUM(B6:B12)</f>
        <v>-14955000000</v>
      </c>
      <c r="C13" s="29">
        <f>SUM(C6:C12)</f>
        <v>6926407413.7263622</v>
      </c>
      <c r="D13" s="29">
        <f t="shared" ref="D13:Q13" si="3">SUM(D6:D11)</f>
        <v>6951924813.7263622</v>
      </c>
      <c r="E13" s="29">
        <f t="shared" si="3"/>
        <v>6979143373.7263622</v>
      </c>
      <c r="F13" s="29">
        <f t="shared" si="3"/>
        <v>7007212513.7263622</v>
      </c>
      <c r="G13" s="29">
        <f t="shared" si="3"/>
        <v>7036132233.7263622</v>
      </c>
      <c r="H13" s="29">
        <f t="shared" si="3"/>
        <v>7065902533.7263622</v>
      </c>
      <c r="I13" s="29">
        <f t="shared" si="3"/>
        <v>7691373993.7263622</v>
      </c>
      <c r="J13" s="29">
        <f t="shared" si="3"/>
        <v>7723696033.7263622</v>
      </c>
      <c r="K13" s="29">
        <f t="shared" si="3"/>
        <v>7757719233.7263622</v>
      </c>
      <c r="L13" s="29">
        <f t="shared" si="3"/>
        <v>7793443593.7263622</v>
      </c>
      <c r="M13" s="29">
        <f t="shared" si="3"/>
        <v>7830018533.7263622</v>
      </c>
      <c r="N13" s="29">
        <f t="shared" si="3"/>
        <v>7868294633.7263622</v>
      </c>
      <c r="O13" s="29">
        <f t="shared" si="3"/>
        <v>7907421313.7263622</v>
      </c>
      <c r="P13" s="29">
        <f t="shared" si="3"/>
        <v>7949099733.7263622</v>
      </c>
      <c r="Q13" s="29">
        <f t="shared" si="3"/>
        <v>7144465218.7096767</v>
      </c>
    </row>
    <row r="14" spans="1:17" x14ac:dyDescent="0.25">
      <c r="A14" s="1"/>
    </row>
    <row r="15" spans="1:17" x14ac:dyDescent="0.25">
      <c r="A15" s="31" t="s">
        <v>85</v>
      </c>
      <c r="B15" s="29">
        <f>+B13+NPV($B$3,C13:Q13)</f>
        <v>67205247946.608612</v>
      </c>
    </row>
    <row r="17" spans="1:17" x14ac:dyDescent="0.25">
      <c r="A17" t="s">
        <v>62</v>
      </c>
      <c r="B17" t="s">
        <v>86</v>
      </c>
      <c r="C17" s="24">
        <v>850000</v>
      </c>
    </row>
    <row r="18" spans="1:17" x14ac:dyDescent="0.25">
      <c r="B18" t="s">
        <v>87</v>
      </c>
      <c r="C18" s="24">
        <v>580</v>
      </c>
    </row>
    <row r="19" spans="1:17" x14ac:dyDescent="0.25">
      <c r="C19" s="24">
        <f>+C17+C18</f>
        <v>850580</v>
      </c>
    </row>
    <row r="20" spans="1:17" x14ac:dyDescent="0.25">
      <c r="B20" t="s">
        <v>88</v>
      </c>
    </row>
    <row r="22" spans="1:17" ht="15.75" x14ac:dyDescent="0.25">
      <c r="A22" s="27" t="s">
        <v>89</v>
      </c>
    </row>
    <row r="23" spans="1:17" ht="15.75" x14ac:dyDescent="0.25">
      <c r="A23" s="23" t="s">
        <v>82</v>
      </c>
      <c r="B23" s="26">
        <v>0.04</v>
      </c>
    </row>
    <row r="24" spans="1:17" ht="15.75" x14ac:dyDescent="0.25">
      <c r="A24" s="23"/>
    </row>
    <row r="25" spans="1:17" x14ac:dyDescent="0.25">
      <c r="A25" s="25" t="s">
        <v>76</v>
      </c>
      <c r="C25">
        <v>2030</v>
      </c>
      <c r="D25">
        <v>2031</v>
      </c>
      <c r="E25">
        <v>2032</v>
      </c>
      <c r="F25">
        <v>2033</v>
      </c>
      <c r="G25">
        <v>2034</v>
      </c>
      <c r="H25">
        <v>2035</v>
      </c>
      <c r="I25">
        <v>2036</v>
      </c>
      <c r="J25">
        <v>2037</v>
      </c>
      <c r="K25">
        <v>2038</v>
      </c>
      <c r="L25">
        <v>2039</v>
      </c>
      <c r="M25">
        <v>2040</v>
      </c>
      <c r="N25">
        <v>2041</v>
      </c>
      <c r="O25">
        <v>2042</v>
      </c>
      <c r="P25">
        <v>2043</v>
      </c>
      <c r="Q25">
        <v>2044</v>
      </c>
    </row>
    <row r="26" spans="1:17" x14ac:dyDescent="0.25">
      <c r="A26" t="s">
        <v>90</v>
      </c>
      <c r="B26" s="24"/>
      <c r="C26" s="24">
        <f>+$C$19*Karbonprisbaner!I9</f>
        <v>2543234200</v>
      </c>
      <c r="D26" s="24">
        <f>+$C$19*Karbonprisbaner!J9</f>
        <v>2779695440</v>
      </c>
      <c r="E26" s="24">
        <f>+$C$19*Karbonprisbaner!K9</f>
        <v>3038271760</v>
      </c>
      <c r="F26" s="24">
        <f>+$C$19*Karbonprisbaner!L9</f>
        <v>3320664320</v>
      </c>
      <c r="G26" s="24">
        <f>+$C$19*Karbonprisbaner!M9</f>
        <v>3629424860</v>
      </c>
      <c r="H26" s="24">
        <f>+$C$19*Karbonprisbaner!N9</f>
        <v>3967105120</v>
      </c>
      <c r="I26" s="24">
        <f>+$C$19*Karbonprisbaner!O9</f>
        <v>4336256840</v>
      </c>
      <c r="J26" s="24">
        <f>+$C$19*Karbonprisbaner!P9</f>
        <v>4739431760</v>
      </c>
      <c r="K26" s="24">
        <f>+$C$19*Karbonprisbaner!Q9</f>
        <v>5180882780</v>
      </c>
      <c r="L26" s="24">
        <f>+$C$19*Karbonprisbaner!R9</f>
        <v>5662311060</v>
      </c>
      <c r="M26" s="24">
        <f>+$C$19*Karbonprisbaner!S9</f>
        <v>6189670660</v>
      </c>
      <c r="N26" s="24">
        <f>+$C$19*Karbonprisbaner!T9</f>
        <v>6454201040</v>
      </c>
      <c r="O26" s="24">
        <f>+$C$19*Karbonprisbaner!U9</f>
        <v>6729788960</v>
      </c>
      <c r="P26" s="24">
        <f>+$C$19*Karbonprisbaner!V9</f>
        <v>7017285000</v>
      </c>
      <c r="Q26" s="24">
        <f>+$C$19*Karbonprisbaner!W9</f>
        <v>7317539740</v>
      </c>
    </row>
    <row r="27" spans="1:17" x14ac:dyDescent="0.25">
      <c r="A27" t="s">
        <v>37</v>
      </c>
      <c r="B27" s="24"/>
      <c r="C27" s="24">
        <f t="shared" ref="C27:H27" si="4">(-19.8*10^9)*0.08</f>
        <v>-1584000000</v>
      </c>
      <c r="D27" s="24">
        <f t="shared" si="4"/>
        <v>-1584000000</v>
      </c>
      <c r="E27" s="24">
        <f t="shared" si="4"/>
        <v>-1584000000</v>
      </c>
      <c r="F27" s="24">
        <f t="shared" si="4"/>
        <v>-1584000000</v>
      </c>
      <c r="G27" s="24">
        <f t="shared" si="4"/>
        <v>-1584000000</v>
      </c>
      <c r="H27" s="24">
        <f t="shared" si="4"/>
        <v>-1584000000</v>
      </c>
      <c r="I27" s="24">
        <f>-(19.8*10^9)*0.05</f>
        <v>-990000000</v>
      </c>
      <c r="J27" s="24">
        <f t="shared" ref="J27:Q27" si="5">-(19.8*10^9)*0.05</f>
        <v>-990000000</v>
      </c>
      <c r="K27" s="24">
        <f t="shared" si="5"/>
        <v>-990000000</v>
      </c>
      <c r="L27" s="24">
        <f t="shared" si="5"/>
        <v>-990000000</v>
      </c>
      <c r="M27" s="24">
        <f t="shared" si="5"/>
        <v>-990000000</v>
      </c>
      <c r="N27" s="24">
        <f t="shared" si="5"/>
        <v>-990000000</v>
      </c>
      <c r="O27" s="24">
        <f t="shared" si="5"/>
        <v>-990000000</v>
      </c>
      <c r="P27" s="24">
        <f t="shared" si="5"/>
        <v>-990000000</v>
      </c>
      <c r="Q27" s="24">
        <f t="shared" si="5"/>
        <v>-990000000</v>
      </c>
    </row>
    <row r="28" spans="1:17" x14ac:dyDescent="0.25">
      <c r="A28" t="s">
        <v>36</v>
      </c>
      <c r="B28" s="24"/>
      <c r="C28" s="24">
        <f>((6.5*10^9)/26.97)*3.4*9.6</f>
        <v>7866518353.7263622</v>
      </c>
      <c r="D28" s="24">
        <f t="shared" ref="D28:P28" si="6">((6.5*10^9)/26.97)*3.4*9.6</f>
        <v>7866518353.7263622</v>
      </c>
      <c r="E28" s="24">
        <f t="shared" si="6"/>
        <v>7866518353.7263622</v>
      </c>
      <c r="F28" s="24">
        <f t="shared" si="6"/>
        <v>7866518353.7263622</v>
      </c>
      <c r="G28" s="24">
        <f t="shared" si="6"/>
        <v>7866518353.7263622</v>
      </c>
      <c r="H28" s="24">
        <f t="shared" si="6"/>
        <v>7866518353.7263622</v>
      </c>
      <c r="I28" s="24">
        <f t="shared" si="6"/>
        <v>7866518353.7263622</v>
      </c>
      <c r="J28" s="24">
        <f t="shared" si="6"/>
        <v>7866518353.7263622</v>
      </c>
      <c r="K28" s="24">
        <f t="shared" si="6"/>
        <v>7866518353.7263622</v>
      </c>
      <c r="L28" s="24">
        <f t="shared" si="6"/>
        <v>7866518353.7263622</v>
      </c>
      <c r="M28" s="24">
        <f t="shared" si="6"/>
        <v>7866518353.7263622</v>
      </c>
      <c r="N28" s="24">
        <f t="shared" si="6"/>
        <v>7866518353.7263622</v>
      </c>
      <c r="O28" s="24">
        <f t="shared" si="6"/>
        <v>7866518353.7263622</v>
      </c>
      <c r="P28" s="24">
        <f t="shared" si="6"/>
        <v>7866518353.7263622</v>
      </c>
      <c r="Q28" s="24">
        <f>((5.8*10^9)/26.97)*3.4*9.6</f>
        <v>7019354838.7096767</v>
      </c>
    </row>
    <row r="29" spans="1:17" x14ac:dyDescent="0.25">
      <c r="A29" t="s">
        <v>39</v>
      </c>
      <c r="B29" s="24">
        <f>-6.2*10^9</f>
        <v>-6200000000</v>
      </c>
      <c r="C29" s="24"/>
      <c r="D29" s="24"/>
      <c r="E29" s="24"/>
      <c r="F29" s="24"/>
      <c r="G29" s="24"/>
      <c r="H29" s="24"/>
      <c r="I29" s="24"/>
      <c r="J29" s="24"/>
      <c r="K29" s="24"/>
      <c r="L29" s="24"/>
      <c r="M29" s="24"/>
      <c r="N29" s="24"/>
      <c r="O29" s="24"/>
      <c r="P29" s="24"/>
      <c r="Q29" s="24"/>
    </row>
    <row r="30" spans="1:17" x14ac:dyDescent="0.25">
      <c r="A30" t="s">
        <v>40</v>
      </c>
      <c r="B30" s="24">
        <f>-7*10^9</f>
        <v>-7000000000</v>
      </c>
      <c r="C30" s="24"/>
      <c r="D30" s="24"/>
      <c r="E30" s="24"/>
      <c r="F30" s="24"/>
      <c r="G30" s="24"/>
      <c r="H30" s="24"/>
      <c r="I30" s="24"/>
      <c r="J30" s="24"/>
      <c r="K30" s="24"/>
      <c r="L30" s="24"/>
      <c r="M30" s="24"/>
      <c r="N30" s="24"/>
      <c r="O30" s="24"/>
      <c r="P30" s="24"/>
      <c r="Q30" s="24"/>
    </row>
    <row r="31" spans="1:17" x14ac:dyDescent="0.25">
      <c r="A31" t="s">
        <v>41</v>
      </c>
      <c r="B31" s="24">
        <v>-1355000000</v>
      </c>
    </row>
    <row r="32" spans="1:17" x14ac:dyDescent="0.25">
      <c r="A32" t="s">
        <v>42</v>
      </c>
      <c r="B32" s="24">
        <f>-4*10^8</f>
        <v>-400000000</v>
      </c>
    </row>
    <row r="33" spans="1:17" s="28" customFormat="1" x14ac:dyDescent="0.25">
      <c r="A33" s="31" t="s">
        <v>89</v>
      </c>
      <c r="B33" s="29">
        <f>SUM(B26:B32)</f>
        <v>-14955000000</v>
      </c>
      <c r="C33" s="29">
        <f t="shared" ref="C33:Q33" si="7">SUM(C26:C32)</f>
        <v>8825752553.7263622</v>
      </c>
      <c r="D33" s="29">
        <f t="shared" si="7"/>
        <v>9062213793.7263622</v>
      </c>
      <c r="E33" s="29">
        <f t="shared" si="7"/>
        <v>9320790113.7263622</v>
      </c>
      <c r="F33" s="29">
        <f t="shared" si="7"/>
        <v>9603182673.7263622</v>
      </c>
      <c r="G33" s="29">
        <f t="shared" si="7"/>
        <v>9911943213.7263622</v>
      </c>
      <c r="H33" s="29">
        <f t="shared" si="7"/>
        <v>10249623473.726362</v>
      </c>
      <c r="I33" s="29">
        <f t="shared" si="7"/>
        <v>11212775193.726362</v>
      </c>
      <c r="J33" s="29">
        <f t="shared" si="7"/>
        <v>11615950113.726362</v>
      </c>
      <c r="K33" s="29">
        <f t="shared" si="7"/>
        <v>12057401133.726362</v>
      </c>
      <c r="L33" s="29">
        <f t="shared" si="7"/>
        <v>12538829413.726362</v>
      </c>
      <c r="M33" s="29">
        <f t="shared" si="7"/>
        <v>13066189013.726362</v>
      </c>
      <c r="N33" s="29">
        <f t="shared" si="7"/>
        <v>13330719393.726362</v>
      </c>
      <c r="O33" s="29">
        <f t="shared" si="7"/>
        <v>13606307313.726362</v>
      </c>
      <c r="P33" s="29">
        <f t="shared" si="7"/>
        <v>13893803353.726362</v>
      </c>
      <c r="Q33" s="29">
        <f t="shared" si="7"/>
        <v>13346894578.709677</v>
      </c>
    </row>
    <row r="34" spans="1:17" x14ac:dyDescent="0.25">
      <c r="B34" s="24"/>
      <c r="C34" s="24"/>
      <c r="D34" s="24"/>
      <c r="E34" s="24"/>
      <c r="F34" s="24"/>
      <c r="G34" s="24"/>
      <c r="H34" s="24"/>
      <c r="I34" s="24"/>
      <c r="J34" s="24"/>
      <c r="K34" s="24"/>
      <c r="L34" s="24"/>
      <c r="M34" s="24"/>
      <c r="N34" s="24"/>
      <c r="O34" s="24"/>
      <c r="P34" s="24"/>
      <c r="Q34" s="24"/>
    </row>
    <row r="35" spans="1:17" x14ac:dyDescent="0.25">
      <c r="I35">
        <v>4336256840</v>
      </c>
    </row>
    <row r="36" spans="1:17" x14ac:dyDescent="0.25">
      <c r="A36" s="31" t="s">
        <v>91</v>
      </c>
      <c r="B36" s="32">
        <f>+B33+NPV($B$23,C33:Q33)</f>
        <v>109022592375.17084</v>
      </c>
      <c r="I36">
        <v>7866518353.7263622</v>
      </c>
    </row>
    <row r="37" spans="1:17" x14ac:dyDescent="0.25">
      <c r="I37">
        <v>-1584000000</v>
      </c>
    </row>
    <row r="38" spans="1:17" x14ac:dyDescent="0.25">
      <c r="A38" t="s">
        <v>62</v>
      </c>
      <c r="B38" t="s">
        <v>86</v>
      </c>
      <c r="C38" s="24">
        <v>850000</v>
      </c>
    </row>
    <row r="39" spans="1:17" x14ac:dyDescent="0.25">
      <c r="B39" t="s">
        <v>87</v>
      </c>
      <c r="C39" s="24">
        <v>580</v>
      </c>
    </row>
    <row r="40" spans="1:17" x14ac:dyDescent="0.25">
      <c r="C40" s="24">
        <f>+C38+C39</f>
        <v>850580</v>
      </c>
    </row>
    <row r="41" spans="1:17" x14ac:dyDescent="0.25">
      <c r="B41" t="s">
        <v>88</v>
      </c>
    </row>
    <row r="43" spans="1:17" ht="15.75" x14ac:dyDescent="0.25">
      <c r="A43" s="27" t="s">
        <v>92</v>
      </c>
    </row>
    <row r="44" spans="1:17" ht="15.75" x14ac:dyDescent="0.25">
      <c r="A44" s="23" t="s">
        <v>82</v>
      </c>
      <c r="B44" s="26">
        <v>0.04</v>
      </c>
    </row>
    <row r="45" spans="1:17" ht="15.75" x14ac:dyDescent="0.25">
      <c r="A45" s="23"/>
    </row>
    <row r="46" spans="1:17" x14ac:dyDescent="0.25">
      <c r="A46" s="25" t="s">
        <v>76</v>
      </c>
      <c r="C46">
        <v>2030</v>
      </c>
      <c r="D46">
        <v>2031</v>
      </c>
      <c r="E46">
        <v>2032</v>
      </c>
      <c r="F46">
        <v>2033</v>
      </c>
      <c r="G46">
        <v>2034</v>
      </c>
      <c r="H46">
        <v>2035</v>
      </c>
      <c r="I46">
        <v>2036</v>
      </c>
      <c r="J46">
        <v>2037</v>
      </c>
      <c r="K46">
        <v>2038</v>
      </c>
      <c r="L46">
        <v>2039</v>
      </c>
      <c r="M46">
        <v>2040</v>
      </c>
      <c r="N46">
        <v>2041</v>
      </c>
      <c r="O46">
        <v>2042</v>
      </c>
      <c r="P46">
        <v>2043</v>
      </c>
      <c r="Q46">
        <v>2044</v>
      </c>
    </row>
    <row r="47" spans="1:17" x14ac:dyDescent="0.25">
      <c r="A47" t="s">
        <v>93</v>
      </c>
      <c r="B47" s="24"/>
      <c r="C47" s="24">
        <f>+$C$19*Karbonprisbaner!I4</f>
        <v>1896793400</v>
      </c>
      <c r="D47" s="24">
        <f>+$C$19*Karbonprisbaner!J4</f>
        <v>1896793400</v>
      </c>
      <c r="E47" s="24">
        <f>+$C$19*Karbonprisbaner!K4</f>
        <v>1896793400</v>
      </c>
      <c r="F47" s="24">
        <f>+$C$19*Karbonprisbaner!L4</f>
        <v>1896793400</v>
      </c>
      <c r="G47" s="24">
        <f>+$C$19*Karbonprisbaner!M4</f>
        <v>1896793400</v>
      </c>
      <c r="H47" s="24">
        <f>+$C$19*Karbonprisbaner!N4</f>
        <v>1896793400</v>
      </c>
      <c r="I47" s="24">
        <f>+$C$19*Karbonprisbaner!O4</f>
        <v>1896793400</v>
      </c>
      <c r="J47" s="24">
        <f>+$C$19*Karbonprisbaner!P4</f>
        <v>1896793400</v>
      </c>
      <c r="K47" s="24">
        <f>+$C$19*Karbonprisbaner!Q4</f>
        <v>1896793400</v>
      </c>
      <c r="L47" s="24">
        <f>+$C$19*Karbonprisbaner!R4</f>
        <v>1896793400</v>
      </c>
      <c r="M47" s="24">
        <f>+$C$19*Karbonprisbaner!S4</f>
        <v>1896793400</v>
      </c>
      <c r="N47" s="24">
        <f>+$C$19*Karbonprisbaner!T4</f>
        <v>1896793400</v>
      </c>
      <c r="O47" s="24">
        <f>+$C$19*Karbonprisbaner!U4</f>
        <v>1896793400</v>
      </c>
      <c r="P47" s="24">
        <f>+$C$19*Karbonprisbaner!V4</f>
        <v>1896793400</v>
      </c>
      <c r="Q47" s="24">
        <f>+$C$19*Karbonprisbaner!W4</f>
        <v>1896793400</v>
      </c>
    </row>
    <row r="48" spans="1:17" x14ac:dyDescent="0.25">
      <c r="A48" t="s">
        <v>37</v>
      </c>
      <c r="B48" s="24"/>
      <c r="C48" s="24">
        <f t="shared" ref="C48:H48" si="8">(-19.8*10^9)*0.08</f>
        <v>-1584000000</v>
      </c>
      <c r="D48" s="24">
        <f t="shared" si="8"/>
        <v>-1584000000</v>
      </c>
      <c r="E48" s="24">
        <f t="shared" si="8"/>
        <v>-1584000000</v>
      </c>
      <c r="F48" s="24">
        <f t="shared" si="8"/>
        <v>-1584000000</v>
      </c>
      <c r="G48" s="24">
        <f t="shared" si="8"/>
        <v>-1584000000</v>
      </c>
      <c r="H48" s="24">
        <f t="shared" si="8"/>
        <v>-1584000000</v>
      </c>
      <c r="I48" s="24">
        <f>-(19.8*10^9)*0.05</f>
        <v>-990000000</v>
      </c>
      <c r="J48" s="24">
        <f t="shared" ref="J48:Q48" si="9">-(19.8*10^9)*0.05</f>
        <v>-990000000</v>
      </c>
      <c r="K48" s="24">
        <f t="shared" si="9"/>
        <v>-990000000</v>
      </c>
      <c r="L48" s="24">
        <f t="shared" si="9"/>
        <v>-990000000</v>
      </c>
      <c r="M48" s="24">
        <f t="shared" si="9"/>
        <v>-990000000</v>
      </c>
      <c r="N48" s="24">
        <f t="shared" si="9"/>
        <v>-990000000</v>
      </c>
      <c r="O48" s="24">
        <f t="shared" si="9"/>
        <v>-990000000</v>
      </c>
      <c r="P48" s="24">
        <f t="shared" si="9"/>
        <v>-990000000</v>
      </c>
      <c r="Q48" s="24">
        <f t="shared" si="9"/>
        <v>-990000000</v>
      </c>
    </row>
    <row r="49" spans="1:17" x14ac:dyDescent="0.25">
      <c r="A49" t="s">
        <v>36</v>
      </c>
      <c r="B49" s="24"/>
      <c r="C49" s="24">
        <f>((6.5*10^9)/26.97)*3.4*9.6</f>
        <v>7866518353.7263622</v>
      </c>
      <c r="D49" s="24">
        <f t="shared" ref="D49:P49" si="10">((6.5*10^9)/26.97)*3.4*9.6</f>
        <v>7866518353.7263622</v>
      </c>
      <c r="E49" s="24">
        <f t="shared" si="10"/>
        <v>7866518353.7263622</v>
      </c>
      <c r="F49" s="24">
        <f t="shared" si="10"/>
        <v>7866518353.7263622</v>
      </c>
      <c r="G49" s="24">
        <f t="shared" si="10"/>
        <v>7866518353.7263622</v>
      </c>
      <c r="H49" s="24">
        <f t="shared" si="10"/>
        <v>7866518353.7263622</v>
      </c>
      <c r="I49" s="24">
        <f t="shared" si="10"/>
        <v>7866518353.7263622</v>
      </c>
      <c r="J49" s="24">
        <f t="shared" si="10"/>
        <v>7866518353.7263622</v>
      </c>
      <c r="K49" s="24">
        <f t="shared" si="10"/>
        <v>7866518353.7263622</v>
      </c>
      <c r="L49" s="24">
        <f t="shared" si="10"/>
        <v>7866518353.7263622</v>
      </c>
      <c r="M49" s="24">
        <f t="shared" si="10"/>
        <v>7866518353.7263622</v>
      </c>
      <c r="N49" s="24">
        <f t="shared" si="10"/>
        <v>7866518353.7263622</v>
      </c>
      <c r="O49" s="24">
        <f t="shared" si="10"/>
        <v>7866518353.7263622</v>
      </c>
      <c r="P49" s="24">
        <f t="shared" si="10"/>
        <v>7866518353.7263622</v>
      </c>
      <c r="Q49" s="24">
        <f>((5.8*10^9)/26.97)*3.4*9.6</f>
        <v>7019354838.7096767</v>
      </c>
    </row>
    <row r="50" spans="1:17" x14ac:dyDescent="0.25">
      <c r="A50" t="s">
        <v>39</v>
      </c>
      <c r="B50" s="24">
        <f>-6.2*10^9</f>
        <v>-6200000000</v>
      </c>
      <c r="C50" s="24"/>
      <c r="D50" s="24"/>
      <c r="E50" s="24"/>
      <c r="F50" s="24"/>
      <c r="G50" s="24"/>
      <c r="H50" s="24"/>
      <c r="I50" s="24"/>
      <c r="J50" s="24"/>
      <c r="K50" s="24"/>
      <c r="L50" s="24"/>
      <c r="M50" s="24"/>
      <c r="N50" s="24"/>
      <c r="O50" s="24"/>
      <c r="P50" s="24"/>
      <c r="Q50" s="24"/>
    </row>
    <row r="51" spans="1:17" x14ac:dyDescent="0.25">
      <c r="A51" t="s">
        <v>40</v>
      </c>
      <c r="B51" s="24">
        <f>-7*10^9</f>
        <v>-7000000000</v>
      </c>
      <c r="C51" s="24"/>
      <c r="D51" s="24"/>
      <c r="E51" s="24"/>
      <c r="F51" s="24"/>
      <c r="G51" s="24"/>
      <c r="H51" s="24"/>
      <c r="I51" s="24"/>
      <c r="J51" s="24"/>
      <c r="K51" s="24"/>
      <c r="L51" s="24"/>
      <c r="M51" s="24"/>
      <c r="N51" s="24"/>
      <c r="O51" s="24"/>
      <c r="P51" s="24"/>
      <c r="Q51" s="24"/>
    </row>
    <row r="52" spans="1:17" x14ac:dyDescent="0.25">
      <c r="A52" t="s">
        <v>41</v>
      </c>
      <c r="B52" s="24">
        <v>-1355000000</v>
      </c>
      <c r="C52" s="24"/>
      <c r="D52" s="24"/>
      <c r="E52" s="24"/>
      <c r="F52" s="24"/>
      <c r="G52" s="24"/>
      <c r="H52" s="24"/>
      <c r="I52" s="24"/>
      <c r="J52" s="24"/>
      <c r="K52" s="24"/>
      <c r="L52" s="24"/>
      <c r="M52" s="24"/>
      <c r="N52" s="24"/>
      <c r="O52" s="24"/>
      <c r="P52" s="24"/>
      <c r="Q52" s="24"/>
    </row>
    <row r="53" spans="1:17" x14ac:dyDescent="0.25">
      <c r="A53" t="s">
        <v>42</v>
      </c>
      <c r="B53" s="24">
        <f>-4*10^8</f>
        <v>-400000000</v>
      </c>
    </row>
    <row r="54" spans="1:17" s="28" customFormat="1" x14ac:dyDescent="0.25">
      <c r="A54" s="31" t="s">
        <v>92</v>
      </c>
      <c r="B54" s="29">
        <f>SUM(B47:B53)</f>
        <v>-14955000000</v>
      </c>
      <c r="C54" s="29">
        <f t="shared" ref="C54:Q54" si="11">SUM(C47:C53)</f>
        <v>8179311753.7263622</v>
      </c>
      <c r="D54" s="29">
        <f t="shared" si="11"/>
        <v>8179311753.7263622</v>
      </c>
      <c r="E54" s="29">
        <f t="shared" si="11"/>
        <v>8179311753.7263622</v>
      </c>
      <c r="F54" s="29">
        <f t="shared" si="11"/>
        <v>8179311753.7263622</v>
      </c>
      <c r="G54" s="29">
        <f t="shared" si="11"/>
        <v>8179311753.7263622</v>
      </c>
      <c r="H54" s="29">
        <f t="shared" si="11"/>
        <v>8179311753.7263622</v>
      </c>
      <c r="I54" s="29">
        <f t="shared" si="11"/>
        <v>8773311753.7263622</v>
      </c>
      <c r="J54" s="29">
        <f t="shared" si="11"/>
        <v>8773311753.7263622</v>
      </c>
      <c r="K54" s="29">
        <f t="shared" si="11"/>
        <v>8773311753.7263622</v>
      </c>
      <c r="L54" s="29">
        <f t="shared" si="11"/>
        <v>8773311753.7263622</v>
      </c>
      <c r="M54" s="29">
        <f t="shared" si="11"/>
        <v>8773311753.7263622</v>
      </c>
      <c r="N54" s="29">
        <f t="shared" si="11"/>
        <v>8773311753.7263622</v>
      </c>
      <c r="O54" s="29">
        <f t="shared" si="11"/>
        <v>8773311753.7263622</v>
      </c>
      <c r="P54" s="29">
        <f t="shared" si="11"/>
        <v>8773311753.7263622</v>
      </c>
      <c r="Q54" s="29">
        <f t="shared" si="11"/>
        <v>7926148238.7096767</v>
      </c>
    </row>
    <row r="56" spans="1:17" x14ac:dyDescent="0.25">
      <c r="A56" s="31" t="s">
        <v>94</v>
      </c>
      <c r="B56" s="32">
        <f>+B54+NPV($B$44,C54:Q54)</f>
        <v>79005850020.334106</v>
      </c>
    </row>
    <row r="58" spans="1:17" x14ac:dyDescent="0.25">
      <c r="A58" t="s">
        <v>62</v>
      </c>
      <c r="B58" t="s">
        <v>86</v>
      </c>
      <c r="C58" s="24">
        <v>850000</v>
      </c>
    </row>
    <row r="59" spans="1:17" x14ac:dyDescent="0.25">
      <c r="B59" t="s">
        <v>87</v>
      </c>
      <c r="C59" s="24">
        <v>580</v>
      </c>
    </row>
    <row r="60" spans="1:17" x14ac:dyDescent="0.25">
      <c r="C60" s="24">
        <f>+C58+C59</f>
        <v>850580</v>
      </c>
    </row>
    <row r="61" spans="1:17" x14ac:dyDescent="0.25">
      <c r="B61" t="s">
        <v>88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256E7-A2C8-4C54-85DC-103E776268B7}">
  <dimension ref="A6:M35"/>
  <sheetViews>
    <sheetView topLeftCell="A12" workbookViewId="0">
      <selection activeCell="E41" sqref="E41"/>
    </sheetView>
  </sheetViews>
  <sheetFormatPr baseColWidth="10" defaultColWidth="11.42578125" defaultRowHeight="15" x14ac:dyDescent="0.25"/>
  <cols>
    <col min="1" max="1" width="35.7109375" bestFit="1" customWidth="1"/>
    <col min="2" max="2" width="26.85546875" bestFit="1" customWidth="1"/>
    <col min="3" max="3" width="20.7109375" customWidth="1"/>
    <col min="4" max="4" width="27" customWidth="1"/>
    <col min="5" max="5" width="30.28515625" bestFit="1" customWidth="1"/>
    <col min="6" max="6" width="22.85546875" bestFit="1" customWidth="1"/>
    <col min="7" max="7" width="18.140625" bestFit="1" customWidth="1"/>
    <col min="8" max="8" width="21.42578125" bestFit="1" customWidth="1"/>
    <col min="12" max="12" width="24.42578125" bestFit="1" customWidth="1"/>
    <col min="13" max="13" width="11.5703125" bestFit="1" customWidth="1"/>
    <col min="14" max="14" width="16" customWidth="1"/>
  </cols>
  <sheetData>
    <row r="6" spans="1:13" x14ac:dyDescent="0.25">
      <c r="B6" s="1" t="s">
        <v>95</v>
      </c>
    </row>
    <row r="7" spans="1:13" ht="45" x14ac:dyDescent="0.25">
      <c r="A7" s="7"/>
      <c r="B7" s="15" t="s">
        <v>96</v>
      </c>
      <c r="C7" s="16" t="s">
        <v>97</v>
      </c>
      <c r="D7" s="17" t="s">
        <v>98</v>
      </c>
      <c r="E7" s="18" t="s">
        <v>99</v>
      </c>
      <c r="F7" s="19" t="s">
        <v>100</v>
      </c>
      <c r="G7" s="20" t="s">
        <v>101</v>
      </c>
    </row>
    <row r="8" spans="1:13" x14ac:dyDescent="0.25">
      <c r="A8" s="3"/>
      <c r="B8" s="6"/>
      <c r="C8" s="10"/>
      <c r="D8" s="11"/>
      <c r="E8" s="12"/>
      <c r="F8" s="13"/>
      <c r="G8" s="14"/>
    </row>
    <row r="9" spans="1:13" x14ac:dyDescent="0.25">
      <c r="A9" s="21" t="s">
        <v>102</v>
      </c>
      <c r="B9" s="6"/>
      <c r="C9" s="10"/>
      <c r="D9" s="11"/>
      <c r="E9" s="12"/>
      <c r="F9" s="13"/>
      <c r="G9" s="14"/>
    </row>
    <row r="10" spans="1:13" ht="30" x14ac:dyDescent="0.25">
      <c r="A10" s="4" t="s">
        <v>103</v>
      </c>
      <c r="B10" s="6"/>
      <c r="C10" s="10"/>
      <c r="D10" s="11"/>
      <c r="E10" s="12"/>
      <c r="F10" s="13"/>
      <c r="G10" s="14"/>
    </row>
    <row r="11" spans="1:13" ht="30" x14ac:dyDescent="0.25">
      <c r="A11" s="4" t="s">
        <v>104</v>
      </c>
      <c r="B11" s="6"/>
      <c r="C11" s="10"/>
      <c r="D11" s="11"/>
      <c r="E11" s="12"/>
      <c r="F11" s="13"/>
      <c r="G11" s="14"/>
      <c r="L11">
        <v>465000</v>
      </c>
    </row>
    <row r="12" spans="1:13" x14ac:dyDescent="0.25">
      <c r="A12" s="4" t="s">
        <v>105</v>
      </c>
      <c r="B12" s="6"/>
      <c r="C12" s="10"/>
      <c r="D12" s="11"/>
      <c r="E12" s="12"/>
      <c r="F12" s="13"/>
      <c r="G12" s="14"/>
      <c r="H12" t="s">
        <v>106</v>
      </c>
    </row>
    <row r="13" spans="1:13" x14ac:dyDescent="0.25">
      <c r="A13" s="5" t="s">
        <v>107</v>
      </c>
      <c r="B13" s="6" t="s">
        <v>108</v>
      </c>
      <c r="C13" s="10"/>
      <c r="D13" s="11"/>
      <c r="E13" s="12"/>
      <c r="F13" s="13"/>
      <c r="G13" s="14"/>
    </row>
    <row r="14" spans="1:13" ht="47.25" customHeight="1" x14ac:dyDescent="0.25">
      <c r="A14" s="3" t="s">
        <v>109</v>
      </c>
      <c r="B14" s="6"/>
      <c r="C14" s="22" t="s">
        <v>110</v>
      </c>
      <c r="D14" s="11"/>
      <c r="E14" s="12"/>
      <c r="F14" s="13"/>
      <c r="G14" s="14"/>
      <c r="H14" t="s">
        <v>111</v>
      </c>
      <c r="I14" t="s">
        <v>112</v>
      </c>
      <c r="K14" t="s">
        <v>113</v>
      </c>
      <c r="L14" t="s">
        <v>114</v>
      </c>
      <c r="M14" t="s">
        <v>115</v>
      </c>
    </row>
    <row r="15" spans="1:13" x14ac:dyDescent="0.25">
      <c r="A15" s="3" t="s">
        <v>116</v>
      </c>
      <c r="B15" s="6"/>
      <c r="C15" s="10"/>
      <c r="D15" s="11"/>
      <c r="E15" s="12"/>
      <c r="F15" s="13"/>
      <c r="G15" s="14">
        <f>161000000*(1+0.04)^20</f>
        <v>352770826.02838081</v>
      </c>
      <c r="H15" t="s">
        <v>117</v>
      </c>
    </row>
    <row r="16" spans="1:13" x14ac:dyDescent="0.25">
      <c r="A16" s="3" t="s">
        <v>118</v>
      </c>
      <c r="B16" s="6"/>
      <c r="C16" s="10"/>
      <c r="D16" s="11"/>
      <c r="E16" s="12"/>
      <c r="F16" s="13"/>
      <c r="G16" s="14"/>
    </row>
    <row r="17" spans="1:8" x14ac:dyDescent="0.25">
      <c r="A17" s="3" t="s">
        <v>119</v>
      </c>
      <c r="B17" s="6"/>
      <c r="C17" s="10"/>
      <c r="D17" s="11">
        <v>370000000</v>
      </c>
      <c r="E17" s="12"/>
      <c r="F17" s="13"/>
      <c r="G17" s="14"/>
    </row>
    <row r="18" spans="1:8" x14ac:dyDescent="0.25">
      <c r="A18" s="3"/>
      <c r="B18" s="6"/>
      <c r="C18" s="10"/>
      <c r="D18" s="11"/>
      <c r="E18" s="12"/>
      <c r="F18" s="13"/>
      <c r="G18" s="14"/>
    </row>
    <row r="19" spans="1:8" x14ac:dyDescent="0.25">
      <c r="A19" s="3"/>
      <c r="B19" s="6"/>
      <c r="C19" s="10"/>
      <c r="D19" s="11"/>
      <c r="E19" s="12"/>
      <c r="F19" s="13"/>
      <c r="G19" s="14"/>
    </row>
    <row r="20" spans="1:8" x14ac:dyDescent="0.25">
      <c r="A20" s="21" t="s">
        <v>120</v>
      </c>
      <c r="B20" s="6"/>
      <c r="C20" s="10"/>
      <c r="D20" s="11"/>
      <c r="E20" s="12"/>
      <c r="F20" s="13"/>
      <c r="G20" s="14"/>
    </row>
    <row r="21" spans="1:8" x14ac:dyDescent="0.25">
      <c r="A21" s="3" t="s">
        <v>121</v>
      </c>
      <c r="B21" s="10">
        <v>6200000000</v>
      </c>
      <c r="C21" s="10">
        <v>6200000000</v>
      </c>
      <c r="D21" s="11"/>
      <c r="E21" s="12"/>
      <c r="F21" s="13"/>
      <c r="G21" s="14"/>
    </row>
    <row r="22" spans="1:8" x14ac:dyDescent="0.25">
      <c r="A22" s="3" t="s">
        <v>122</v>
      </c>
      <c r="B22" s="6"/>
      <c r="C22" s="10">
        <v>7000000000</v>
      </c>
      <c r="D22" s="11"/>
      <c r="E22" s="12"/>
      <c r="F22" s="13"/>
      <c r="G22" s="14"/>
    </row>
    <row r="23" spans="1:8" x14ac:dyDescent="0.25">
      <c r="A23" s="3"/>
      <c r="B23" s="6"/>
      <c r="C23" s="10"/>
      <c r="D23" s="11"/>
      <c r="E23" s="12"/>
      <c r="F23" s="13"/>
      <c r="G23" s="14"/>
    </row>
    <row r="24" spans="1:8" x14ac:dyDescent="0.25">
      <c r="A24" s="3"/>
      <c r="B24" s="6"/>
      <c r="C24" s="10"/>
      <c r="D24" s="11"/>
      <c r="E24" s="12"/>
      <c r="F24" s="13"/>
      <c r="G24" s="14"/>
    </row>
    <row r="25" spans="1:8" x14ac:dyDescent="0.25">
      <c r="A25" s="3" t="s">
        <v>123</v>
      </c>
      <c r="B25" s="8">
        <f>-(850580*1700)/(1+0.04)^20</f>
        <v>-659929134.78982151</v>
      </c>
      <c r="C25" s="10"/>
      <c r="D25" s="11"/>
      <c r="E25" s="12"/>
      <c r="F25" s="13"/>
      <c r="G25" s="14"/>
    </row>
    <row r="26" spans="1:8" x14ac:dyDescent="0.25">
      <c r="A26" s="3" t="s">
        <v>124</v>
      </c>
      <c r="B26" s="6"/>
      <c r="C26" s="10"/>
      <c r="D26" s="11"/>
      <c r="E26" s="12"/>
      <c r="F26" s="13"/>
      <c r="G26" s="14"/>
    </row>
    <row r="27" spans="1:8" x14ac:dyDescent="0.25">
      <c r="A27" s="3" t="s">
        <v>125</v>
      </c>
      <c r="B27" s="8"/>
      <c r="C27" s="10"/>
      <c r="D27" s="11"/>
      <c r="E27" s="12"/>
      <c r="F27" s="13"/>
      <c r="G27" s="14"/>
    </row>
    <row r="28" spans="1:8" x14ac:dyDescent="0.25">
      <c r="A28" s="3"/>
      <c r="B28" s="9"/>
      <c r="C28" s="10"/>
      <c r="D28" s="11"/>
      <c r="E28" s="12"/>
      <c r="F28" s="13"/>
      <c r="G28" s="14"/>
    </row>
    <row r="29" spans="1:8" x14ac:dyDescent="0.25">
      <c r="A29" s="3" t="s">
        <v>126</v>
      </c>
      <c r="B29" s="6"/>
      <c r="C29" s="10"/>
      <c r="D29" s="11" t="e">
        <f>((E35,E361220000000+1490000000)/2)/(1+0.04)^20</f>
        <v>#NAME?</v>
      </c>
      <c r="E29" s="12">
        <f>((950000000+1145000000)/2)/(1+0.04)^20</f>
        <v>478065326.14585346</v>
      </c>
      <c r="F29" s="13"/>
      <c r="G29" s="14">
        <f>6969000000/(1+0.04)^20</f>
        <v>3180560628.0768042</v>
      </c>
      <c r="H29" t="s">
        <v>127</v>
      </c>
    </row>
    <row r="30" spans="1:8" x14ac:dyDescent="0.25">
      <c r="B30" s="2"/>
      <c r="E30" t="s">
        <v>128</v>
      </c>
    </row>
    <row r="32" spans="1:8" x14ac:dyDescent="0.25">
      <c r="C32" t="s">
        <v>129</v>
      </c>
    </row>
    <row r="33" spans="1:5" x14ac:dyDescent="0.25">
      <c r="C33" t="s">
        <v>130</v>
      </c>
    </row>
    <row r="34" spans="1:5" x14ac:dyDescent="0.25">
      <c r="A34" t="s">
        <v>131</v>
      </c>
    </row>
    <row r="35" spans="1:5" x14ac:dyDescent="0.25">
      <c r="E35">
        <f>+(1220000000+1490000000)/2</f>
        <v>1355000000</v>
      </c>
    </row>
  </sheetData>
  <pageMargins left="0.7" right="0.7" top="0.75" bottom="0.75" header="0.3" footer="0.3"/>
  <pageSetup paperSize="9"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986DC-BAD0-49C4-B08F-8397CE0E13AE}">
  <dimension ref="A1:R25"/>
  <sheetViews>
    <sheetView showGridLines="0" zoomScale="120" zoomScaleNormal="120" workbookViewId="0">
      <selection activeCell="D2" sqref="D2"/>
    </sheetView>
  </sheetViews>
  <sheetFormatPr baseColWidth="10" defaultColWidth="11.42578125" defaultRowHeight="15" x14ac:dyDescent="0.25"/>
  <cols>
    <col min="1" max="1" width="42.42578125" bestFit="1" customWidth="1"/>
    <col min="2" max="2" width="14.85546875" bestFit="1" customWidth="1"/>
    <col min="3" max="3" width="14.28515625" bestFit="1" customWidth="1"/>
    <col min="4" max="4" width="18.85546875" bestFit="1" customWidth="1"/>
    <col min="5" max="17" width="13.7109375" customWidth="1"/>
    <col min="18" max="18" width="15.28515625" customWidth="1"/>
  </cols>
  <sheetData>
    <row r="1" spans="1:18" ht="21.75" thickBot="1" x14ac:dyDescent="0.4">
      <c r="A1" s="30" t="s">
        <v>132</v>
      </c>
    </row>
    <row r="2" spans="1:18" ht="15.75" thickBot="1" x14ac:dyDescent="0.3">
      <c r="A2" s="1" t="s">
        <v>66</v>
      </c>
      <c r="B2" s="1"/>
      <c r="D2" s="122" t="s">
        <v>32</v>
      </c>
    </row>
    <row r="3" spans="1:18" s="34" customFormat="1" ht="12.75" x14ac:dyDescent="0.2">
      <c r="A3" s="42" t="s">
        <v>67</v>
      </c>
      <c r="B3" s="43">
        <v>0.04</v>
      </c>
    </row>
    <row r="4" spans="1:18" s="34" customFormat="1" ht="12.75" x14ac:dyDescent="0.2">
      <c r="C4" s="35"/>
    </row>
    <row r="5" spans="1:18" s="34" customFormat="1" ht="12.75" x14ac:dyDescent="0.2">
      <c r="A5" s="172" t="s">
        <v>73</v>
      </c>
      <c r="B5" s="173"/>
    </row>
    <row r="6" spans="1:18" s="34" customFormat="1" ht="14.25" x14ac:dyDescent="0.25">
      <c r="A6" s="38" t="s">
        <v>70</v>
      </c>
      <c r="B6" s="39">
        <v>900000</v>
      </c>
    </row>
    <row r="7" spans="1:18" s="34" customFormat="1" ht="14.25" x14ac:dyDescent="0.25">
      <c r="A7" s="38" t="s">
        <v>71</v>
      </c>
      <c r="B7" s="39">
        <v>580</v>
      </c>
    </row>
    <row r="8" spans="1:18" s="34" customFormat="1" ht="12.75" x14ac:dyDescent="0.2">
      <c r="A8" s="40" t="s">
        <v>72</v>
      </c>
      <c r="B8" s="41">
        <f>SUM(B6:B7)</f>
        <v>900580</v>
      </c>
    </row>
    <row r="9" spans="1:18" s="34" customFormat="1" ht="12.75" x14ac:dyDescent="0.2">
      <c r="A9" s="36"/>
      <c r="B9" s="36"/>
    </row>
    <row r="10" spans="1:18" s="34" customFormat="1" ht="12.75" x14ac:dyDescent="0.2"/>
    <row r="12" spans="1:18" ht="15.75" x14ac:dyDescent="0.25">
      <c r="A12" s="50" t="s">
        <v>74</v>
      </c>
      <c r="B12" s="66"/>
      <c r="D12">
        <v>1</v>
      </c>
      <c r="E12">
        <v>2</v>
      </c>
      <c r="F12">
        <v>3</v>
      </c>
      <c r="G12">
        <v>4</v>
      </c>
      <c r="H12">
        <v>5</v>
      </c>
      <c r="I12">
        <v>6</v>
      </c>
      <c r="J12">
        <v>7</v>
      </c>
      <c r="K12">
        <v>8</v>
      </c>
      <c r="L12">
        <v>9</v>
      </c>
      <c r="M12">
        <v>10</v>
      </c>
      <c r="N12">
        <v>11</v>
      </c>
      <c r="O12">
        <v>12</v>
      </c>
      <c r="P12">
        <v>13</v>
      </c>
      <c r="Q12">
        <v>14</v>
      </c>
      <c r="R12">
        <v>14</v>
      </c>
    </row>
    <row r="13" spans="1:18" s="61" customFormat="1" ht="12.75" x14ac:dyDescent="0.2">
      <c r="A13" s="49" t="s">
        <v>76</v>
      </c>
      <c r="B13" s="49" t="s">
        <v>21</v>
      </c>
      <c r="C13" s="49"/>
      <c r="D13" s="49">
        <v>2030</v>
      </c>
      <c r="E13" s="49">
        <v>2031</v>
      </c>
      <c r="F13" s="49">
        <v>2032</v>
      </c>
      <c r="G13" s="49">
        <v>2033</v>
      </c>
      <c r="H13" s="49">
        <v>2034</v>
      </c>
      <c r="I13" s="49">
        <v>2035</v>
      </c>
      <c r="J13" s="49">
        <v>2036</v>
      </c>
      <c r="K13" s="49">
        <v>2037</v>
      </c>
      <c r="L13" s="49">
        <v>2038</v>
      </c>
      <c r="M13" s="49">
        <v>2039</v>
      </c>
      <c r="N13" s="49">
        <v>2040</v>
      </c>
      <c r="O13" s="49">
        <v>2041</v>
      </c>
      <c r="P13" s="49">
        <v>2042</v>
      </c>
      <c r="Q13" s="49">
        <v>2043</v>
      </c>
    </row>
    <row r="14" spans="1:18" s="34" customFormat="1" ht="12.75" x14ac:dyDescent="0.2">
      <c r="A14" s="42" t="s">
        <v>78</v>
      </c>
      <c r="B14" s="89">
        <v>5</v>
      </c>
      <c r="C14" s="39"/>
      <c r="D14" s="39">
        <f>-$B$8*Karbonprisbaner!I$4</f>
        <v>-2008293400</v>
      </c>
      <c r="E14" s="39">
        <f>-$B$8*Karbonprisbaner!J$4</f>
        <v>-2008293400</v>
      </c>
      <c r="F14" s="39">
        <f>-$B$8*Karbonprisbaner!K$4</f>
        <v>-2008293400</v>
      </c>
      <c r="G14" s="39">
        <f>-$B$8*Karbonprisbaner!L$4</f>
        <v>-2008293400</v>
      </c>
      <c r="H14" s="39">
        <f>-$B$8*Karbonprisbaner!M$4</f>
        <v>-2008293400</v>
      </c>
      <c r="I14" s="39">
        <f>-$B$8*Karbonprisbaner!N$4</f>
        <v>-2008293400</v>
      </c>
      <c r="J14" s="39">
        <f>-$B$8*Karbonprisbaner!O$4</f>
        <v>-2008293400</v>
      </c>
      <c r="K14" s="39">
        <f>-$B$8*Karbonprisbaner!P$4</f>
        <v>-2008293400</v>
      </c>
      <c r="L14" s="39">
        <f>-$B$8*Karbonprisbaner!Q$4</f>
        <v>-2008293400</v>
      </c>
      <c r="M14" s="39">
        <f>-$B$8*Karbonprisbaner!R$4</f>
        <v>-2008293400</v>
      </c>
      <c r="N14" s="39">
        <f>-$B$8*Karbonprisbaner!S$4</f>
        <v>-2008293400</v>
      </c>
      <c r="O14" s="39">
        <f>-$B$8*Karbonprisbaner!T$4</f>
        <v>-2008293400</v>
      </c>
      <c r="P14" s="39">
        <f>-$B$8*Karbonprisbaner!U$4</f>
        <v>-2008293400</v>
      </c>
      <c r="Q14" s="39">
        <f>-$B$8*Karbonprisbaner!V$4</f>
        <v>-2008293400</v>
      </c>
      <c r="R14" s="37">
        <v>0</v>
      </c>
    </row>
    <row r="15" spans="1:18" s="34" customFormat="1" x14ac:dyDescent="0.25">
      <c r="A15" s="42" t="s">
        <v>36</v>
      </c>
      <c r="B15" s="89">
        <v>6</v>
      </c>
      <c r="C15" s="39"/>
      <c r="D15" s="39">
        <f>((6.5*10^9)/26.97)*3.4*9.6</f>
        <v>7866518353.7263622</v>
      </c>
      <c r="E15" s="39">
        <f t="shared" ref="E15:Q15" si="0">((6.5*10^9)/26.97)*3.4*9.6</f>
        <v>7866518353.7263622</v>
      </c>
      <c r="F15" s="39">
        <f t="shared" si="0"/>
        <v>7866518353.7263622</v>
      </c>
      <c r="G15" s="39">
        <f t="shared" si="0"/>
        <v>7866518353.7263622</v>
      </c>
      <c r="H15" s="39">
        <f t="shared" si="0"/>
        <v>7866518353.7263622</v>
      </c>
      <c r="I15" s="39">
        <f t="shared" si="0"/>
        <v>7866518353.7263622</v>
      </c>
      <c r="J15" s="39">
        <f t="shared" si="0"/>
        <v>7866518353.7263622</v>
      </c>
      <c r="K15" s="39">
        <f t="shared" si="0"/>
        <v>7866518353.7263622</v>
      </c>
      <c r="L15" s="39">
        <f t="shared" si="0"/>
        <v>7866518353.7263622</v>
      </c>
      <c r="M15" s="39">
        <f t="shared" si="0"/>
        <v>7866518353.7263622</v>
      </c>
      <c r="N15" s="39">
        <f t="shared" si="0"/>
        <v>7866518353.7263622</v>
      </c>
      <c r="O15" s="39">
        <f t="shared" si="0"/>
        <v>7866518353.7263622</v>
      </c>
      <c r="P15" s="39">
        <f t="shared" si="0"/>
        <v>7866518353.7263622</v>
      </c>
      <c r="Q15" s="39">
        <f t="shared" si="0"/>
        <v>7866518353.7263622</v>
      </c>
      <c r="R15" s="45">
        <v>0</v>
      </c>
    </row>
    <row r="16" spans="1:18" s="34" customFormat="1" ht="12.75" x14ac:dyDescent="0.2">
      <c r="A16" s="42" t="s">
        <v>39</v>
      </c>
      <c r="B16" s="89">
        <v>7</v>
      </c>
      <c r="C16" s="39">
        <f>-8.5*10^9</f>
        <v>-8500000000</v>
      </c>
      <c r="D16" s="39"/>
      <c r="E16" s="39"/>
      <c r="F16" s="39"/>
      <c r="G16" s="39"/>
      <c r="H16" s="39"/>
      <c r="I16" s="39"/>
      <c r="J16" s="39"/>
      <c r="K16" s="39"/>
      <c r="L16" s="39"/>
      <c r="M16" s="39"/>
      <c r="N16" s="39"/>
      <c r="O16" s="39"/>
      <c r="P16" s="39"/>
      <c r="Q16" s="39"/>
    </row>
    <row r="17" spans="1:18" s="46" customFormat="1" ht="12.75" x14ac:dyDescent="0.2">
      <c r="A17" s="48" t="s">
        <v>74</v>
      </c>
      <c r="B17" s="48"/>
      <c r="C17" s="41">
        <f>SUM(C16:C16)</f>
        <v>-8500000000</v>
      </c>
      <c r="D17" s="41">
        <f t="shared" ref="D17:R17" si="1">SUM(D14:D16)</f>
        <v>5858224953.7263622</v>
      </c>
      <c r="E17" s="41">
        <f t="shared" si="1"/>
        <v>5858224953.7263622</v>
      </c>
      <c r="F17" s="41">
        <f t="shared" si="1"/>
        <v>5858224953.7263622</v>
      </c>
      <c r="G17" s="41">
        <f t="shared" si="1"/>
        <v>5858224953.7263622</v>
      </c>
      <c r="H17" s="41">
        <f t="shared" si="1"/>
        <v>5858224953.7263622</v>
      </c>
      <c r="I17" s="41">
        <f t="shared" si="1"/>
        <v>5858224953.7263622</v>
      </c>
      <c r="J17" s="41">
        <f t="shared" si="1"/>
        <v>5858224953.7263622</v>
      </c>
      <c r="K17" s="41">
        <f t="shared" si="1"/>
        <v>5858224953.7263622</v>
      </c>
      <c r="L17" s="41">
        <f t="shared" si="1"/>
        <v>5858224953.7263622</v>
      </c>
      <c r="M17" s="41">
        <f t="shared" si="1"/>
        <v>5858224953.7263622</v>
      </c>
      <c r="N17" s="41">
        <f t="shared" si="1"/>
        <v>5858224953.7263622</v>
      </c>
      <c r="O17" s="41">
        <f t="shared" si="1"/>
        <v>5858224953.7263622</v>
      </c>
      <c r="P17" s="41">
        <f t="shared" si="1"/>
        <v>5858224953.7263622</v>
      </c>
      <c r="Q17" s="41">
        <f t="shared" si="1"/>
        <v>5858224953.7263622</v>
      </c>
      <c r="R17" s="41">
        <f t="shared" si="1"/>
        <v>0</v>
      </c>
    </row>
    <row r="19" spans="1:18" x14ac:dyDescent="0.25">
      <c r="A19" s="170" t="s">
        <v>79</v>
      </c>
      <c r="B19" s="171"/>
      <c r="C19" s="45">
        <f>+C17+NPV($B$3,D17:Q17)</f>
        <v>53381150334.611473</v>
      </c>
    </row>
    <row r="21" spans="1:18" s="34" customFormat="1" ht="12.75" x14ac:dyDescent="0.2">
      <c r="D21" s="37"/>
    </row>
    <row r="22" spans="1:18" s="34" customFormat="1" ht="12.75" x14ac:dyDescent="0.2">
      <c r="C22" s="37"/>
      <c r="D22" s="37"/>
    </row>
    <row r="23" spans="1:18" s="34" customFormat="1" ht="12.75" x14ac:dyDescent="0.2"/>
    <row r="24" spans="1:18" s="34" customFormat="1" ht="12.75" x14ac:dyDescent="0.2">
      <c r="D24" s="91"/>
    </row>
    <row r="25" spans="1:18" s="34" customFormat="1" ht="12.75" x14ac:dyDescent="0.2"/>
  </sheetData>
  <mergeCells count="2">
    <mergeCell ref="A5:B5"/>
    <mergeCell ref="A19:B19"/>
  </mergeCells>
  <hyperlinks>
    <hyperlink ref="B14" location="Noter!A1" display="Noter!A1" xr:uid="{DB9480BB-62CA-400A-B882-5D7F0BCB6E76}"/>
    <hyperlink ref="B15" location="Noter!A1" display="Noter!A1" xr:uid="{FDEB8258-45F6-4E07-8CC3-FE6456DFDF9F}"/>
    <hyperlink ref="B16" location="Noter!A1" display="Noter!A1" xr:uid="{607765EC-45A2-4AA4-B402-9B91AA4E7845}"/>
    <hyperlink ref="D2" location="Meny!A1" display="Tilbake til Meny" xr:uid="{A405B9CA-EAF8-4BA7-8395-093F8CEAC23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58B-7185-4C9A-BA51-A393E9D5CD46}">
  <dimension ref="A1:R67"/>
  <sheetViews>
    <sheetView showGridLines="0" zoomScale="110" zoomScaleNormal="110" workbookViewId="0">
      <selection activeCell="D3" sqref="D3"/>
    </sheetView>
  </sheetViews>
  <sheetFormatPr baseColWidth="10" defaultColWidth="11.42578125" defaultRowHeight="15" x14ac:dyDescent="0.25"/>
  <cols>
    <col min="1" max="1" width="51.28515625" bestFit="1" customWidth="1"/>
    <col min="2" max="2" width="14.5703125" bestFit="1" customWidth="1"/>
    <col min="3" max="3" width="16.85546875" bestFit="1" customWidth="1"/>
    <col min="4" max="4" width="18.28515625" bestFit="1" customWidth="1"/>
    <col min="5" max="6" width="13.42578125" bestFit="1" customWidth="1"/>
    <col min="7" max="8" width="12.85546875" bestFit="1" customWidth="1"/>
    <col min="9" max="18" width="13.28515625" bestFit="1" customWidth="1"/>
    <col min="19" max="19" width="15.42578125" bestFit="1" customWidth="1"/>
  </cols>
  <sheetData>
    <row r="1" spans="1:18" ht="21" x14ac:dyDescent="0.35">
      <c r="A1" s="30" t="s">
        <v>10</v>
      </c>
      <c r="B1" s="30"/>
    </row>
    <row r="2" spans="1:18" ht="15.75" thickBot="1" x14ac:dyDescent="0.3">
      <c r="A2" s="1" t="s">
        <v>66</v>
      </c>
      <c r="B2" s="1"/>
    </row>
    <row r="3" spans="1:18" s="34" customFormat="1" ht="15.75" thickBot="1" x14ac:dyDescent="0.3">
      <c r="A3" s="42" t="s">
        <v>67</v>
      </c>
      <c r="B3" s="43">
        <v>0.04</v>
      </c>
      <c r="D3" s="122" t="s">
        <v>32</v>
      </c>
      <c r="E3" s="76"/>
    </row>
    <row r="4" spans="1:18" s="34" customFormat="1" ht="12.75" x14ac:dyDescent="0.2">
      <c r="C4" s="35"/>
    </row>
    <row r="5" spans="1:18" s="34" customFormat="1" ht="12.75" x14ac:dyDescent="0.2">
      <c r="A5" s="172" t="s">
        <v>69</v>
      </c>
      <c r="B5" s="173"/>
    </row>
    <row r="6" spans="1:18" s="34" customFormat="1" ht="14.25" x14ac:dyDescent="0.25">
      <c r="A6" s="38" t="s">
        <v>70</v>
      </c>
      <c r="B6" s="39">
        <v>850000</v>
      </c>
    </row>
    <row r="7" spans="1:18" s="34" customFormat="1" ht="14.25" x14ac:dyDescent="0.25">
      <c r="A7" s="38" t="s">
        <v>71</v>
      </c>
      <c r="B7" s="39">
        <v>580</v>
      </c>
    </row>
    <row r="8" spans="1:18" s="34" customFormat="1" ht="12.75" x14ac:dyDescent="0.2">
      <c r="A8" s="40" t="s">
        <v>72</v>
      </c>
      <c r="B8" s="41">
        <f>SUM(B6:B7)</f>
        <v>850580</v>
      </c>
    </row>
    <row r="9" spans="1:18" s="34" customFormat="1" ht="12.75" x14ac:dyDescent="0.2">
      <c r="A9" s="172" t="s">
        <v>73</v>
      </c>
      <c r="B9" s="173"/>
    </row>
    <row r="10" spans="1:18" s="34" customFormat="1" ht="14.25" x14ac:dyDescent="0.25">
      <c r="A10" s="38" t="s">
        <v>70</v>
      </c>
      <c r="B10" s="39">
        <v>50000</v>
      </c>
    </row>
    <row r="11" spans="1:18" s="34" customFormat="1" ht="12.75" x14ac:dyDescent="0.2">
      <c r="A11" s="96"/>
      <c r="B11" s="97"/>
    </row>
    <row r="12" spans="1:18" s="34" customFormat="1" ht="18.75" x14ac:dyDescent="0.3">
      <c r="A12" s="98" t="s">
        <v>80</v>
      </c>
      <c r="B12" s="97"/>
    </row>
    <row r="13" spans="1:18" ht="15.75" x14ac:dyDescent="0.25">
      <c r="A13" s="50" t="s">
        <v>133</v>
      </c>
      <c r="B13" s="66"/>
    </row>
    <row r="14" spans="1:18" s="1" customFormat="1" x14ac:dyDescent="0.25">
      <c r="A14" s="49" t="s">
        <v>76</v>
      </c>
      <c r="B14" s="49" t="s">
        <v>21</v>
      </c>
      <c r="C14" s="49"/>
      <c r="D14" s="49">
        <v>2030</v>
      </c>
      <c r="E14" s="49">
        <v>2031</v>
      </c>
      <c r="F14" s="49">
        <v>2032</v>
      </c>
      <c r="G14" s="49">
        <v>2033</v>
      </c>
      <c r="H14" s="49">
        <v>2034</v>
      </c>
      <c r="I14" s="49">
        <v>2035</v>
      </c>
      <c r="J14" s="49">
        <v>2036</v>
      </c>
      <c r="K14" s="49">
        <v>2037</v>
      </c>
      <c r="L14" s="49">
        <v>2038</v>
      </c>
      <c r="M14" s="49">
        <v>2039</v>
      </c>
      <c r="N14" s="49">
        <v>2040</v>
      </c>
      <c r="O14" s="49">
        <v>2041</v>
      </c>
      <c r="P14" s="49">
        <v>2042</v>
      </c>
      <c r="Q14" s="49">
        <v>2043</v>
      </c>
      <c r="R14" s="49">
        <v>2044</v>
      </c>
    </row>
    <row r="15" spans="1:18" s="1" customFormat="1" x14ac:dyDescent="0.25">
      <c r="A15" s="42" t="s">
        <v>134</v>
      </c>
      <c r="B15" s="93"/>
      <c r="C15" s="92"/>
      <c r="D15" s="39">
        <f>-$B$10*Karbonprisbaner!I$8</f>
        <v>-37850000</v>
      </c>
      <c r="E15" s="39">
        <f>-$B$10*Karbonprisbaner!J$8</f>
        <v>-39350000</v>
      </c>
      <c r="F15" s="39">
        <f>-$B$10*Karbonprisbaner!K$8</f>
        <v>-40950000</v>
      </c>
      <c r="G15" s="39">
        <f>-$B$10*Karbonprisbaner!L$8</f>
        <v>-42600000</v>
      </c>
      <c r="H15" s="39">
        <f>-$B$10*Karbonprisbaner!M$8</f>
        <v>-44300000</v>
      </c>
      <c r="I15" s="39">
        <f>-$B$10*Karbonprisbaner!N$8</f>
        <v>-46050000</v>
      </c>
      <c r="J15" s="39">
        <f>-$B$10*Karbonprisbaner!O$8</f>
        <v>-47900000</v>
      </c>
      <c r="K15" s="39">
        <f>-$B$10*Karbonprisbaner!P$8</f>
        <v>-49800000</v>
      </c>
      <c r="L15" s="39">
        <f>-$B$10*Karbonprisbaner!Q$8</f>
        <v>-51800000</v>
      </c>
      <c r="M15" s="39">
        <f>-$B$10*Karbonprisbaner!R$8</f>
        <v>-53900000</v>
      </c>
      <c r="N15" s="39">
        <f>-$B$10*Karbonprisbaner!S$8</f>
        <v>-56050000</v>
      </c>
      <c r="O15" s="39">
        <f>-$B$10*Karbonprisbaner!T$8</f>
        <v>-58300000</v>
      </c>
      <c r="P15" s="39">
        <f>-$B$10*Karbonprisbaner!U$8</f>
        <v>-60600000</v>
      </c>
      <c r="Q15" s="39">
        <f>-$B$10*Karbonprisbaner!V$8</f>
        <v>-63050000</v>
      </c>
      <c r="R15" s="39">
        <f>-$B$10*Karbonprisbaner!W$8</f>
        <v>-65550000</v>
      </c>
    </row>
    <row r="16" spans="1:18" s="47" customFormat="1" x14ac:dyDescent="0.25">
      <c r="A16" s="42" t="s">
        <v>135</v>
      </c>
      <c r="B16" s="64"/>
      <c r="C16" s="39"/>
      <c r="D16" s="39">
        <f>$B$8*Karbonprisbaner!I$8</f>
        <v>643889060</v>
      </c>
      <c r="E16" s="39">
        <f>$B$8*Karbonprisbaner!J$8</f>
        <v>669406460</v>
      </c>
      <c r="F16" s="39">
        <f>$B$8*Karbonprisbaner!K$8</f>
        <v>696625020</v>
      </c>
      <c r="G16" s="39">
        <f>$B$8*Karbonprisbaner!L$8</f>
        <v>724694160</v>
      </c>
      <c r="H16" s="39">
        <f>$B$8*Karbonprisbaner!M$8</f>
        <v>753613880</v>
      </c>
      <c r="I16" s="39">
        <f>$B$8*Karbonprisbaner!N$8</f>
        <v>783384180</v>
      </c>
      <c r="J16" s="39">
        <f>$B$8*Karbonprisbaner!O$8</f>
        <v>814855640</v>
      </c>
      <c r="K16" s="39">
        <f>$B$8*Karbonprisbaner!P$8</f>
        <v>847177680</v>
      </c>
      <c r="L16" s="39">
        <f>$B$8*Karbonprisbaner!Q$8</f>
        <v>881200880</v>
      </c>
      <c r="M16" s="39">
        <f>$B$8*Karbonprisbaner!R$8</f>
        <v>916925240</v>
      </c>
      <c r="N16" s="39">
        <f>$B$8*Karbonprisbaner!S$8</f>
        <v>953500180</v>
      </c>
      <c r="O16" s="39">
        <f>$B$8*Karbonprisbaner!T$8</f>
        <v>991776280</v>
      </c>
      <c r="P16" s="39">
        <f>$B$8*Karbonprisbaner!U$8</f>
        <v>1030902960</v>
      </c>
      <c r="Q16" s="39">
        <f>$B$8*Karbonprisbaner!V$8</f>
        <v>1072581380</v>
      </c>
      <c r="R16" s="39">
        <f>$B$8*Karbonprisbaner!W$8</f>
        <v>1115110380</v>
      </c>
    </row>
    <row r="17" spans="1:18" s="47" customFormat="1" x14ac:dyDescent="0.25">
      <c r="A17" s="42" t="s">
        <v>36</v>
      </c>
      <c r="B17" s="64"/>
      <c r="C17" s="39"/>
      <c r="D17" s="39">
        <f>((6.5*10^9)/26.97)*3.4*9.6</f>
        <v>7866518353.7263622</v>
      </c>
      <c r="E17" s="39">
        <f t="shared" ref="E17:Q17" si="0">((6.5*10^9)/26.97)*3.4*9.6</f>
        <v>7866518353.7263622</v>
      </c>
      <c r="F17" s="39">
        <f t="shared" si="0"/>
        <v>7866518353.7263622</v>
      </c>
      <c r="G17" s="39">
        <f t="shared" si="0"/>
        <v>7866518353.7263622</v>
      </c>
      <c r="H17" s="39">
        <f t="shared" si="0"/>
        <v>7866518353.7263622</v>
      </c>
      <c r="I17" s="39">
        <f t="shared" si="0"/>
        <v>7866518353.7263622</v>
      </c>
      <c r="J17" s="39">
        <f t="shared" si="0"/>
        <v>7866518353.7263622</v>
      </c>
      <c r="K17" s="39">
        <f t="shared" si="0"/>
        <v>7866518353.7263622</v>
      </c>
      <c r="L17" s="39">
        <f t="shared" si="0"/>
        <v>7866518353.7263622</v>
      </c>
      <c r="M17" s="39">
        <f t="shared" si="0"/>
        <v>7866518353.7263622</v>
      </c>
      <c r="N17" s="39">
        <f t="shared" si="0"/>
        <v>7866518353.7263622</v>
      </c>
      <c r="O17" s="39">
        <f t="shared" si="0"/>
        <v>7866518353.7263622</v>
      </c>
      <c r="P17" s="39">
        <f t="shared" si="0"/>
        <v>7866518353.7263622</v>
      </c>
      <c r="Q17" s="39">
        <f t="shared" si="0"/>
        <v>7866518353.7263622</v>
      </c>
      <c r="R17" s="39">
        <f>((5.8*10^9)/26.97)*3.4*9.6</f>
        <v>7019354838.7096767</v>
      </c>
    </row>
    <row r="18" spans="1:18" s="47" customFormat="1" x14ac:dyDescent="0.25">
      <c r="A18" s="42" t="s">
        <v>37</v>
      </c>
      <c r="B18" s="64"/>
      <c r="C18" s="39"/>
      <c r="D18" s="39">
        <f t="shared" ref="D18:I18" si="1">(-19.8*10^9)*0.08</f>
        <v>-1584000000</v>
      </c>
      <c r="E18" s="39">
        <f t="shared" si="1"/>
        <v>-1584000000</v>
      </c>
      <c r="F18" s="39">
        <f t="shared" si="1"/>
        <v>-1584000000</v>
      </c>
      <c r="G18" s="39">
        <f t="shared" si="1"/>
        <v>-1584000000</v>
      </c>
      <c r="H18" s="39">
        <f t="shared" si="1"/>
        <v>-1584000000</v>
      </c>
      <c r="I18" s="39">
        <f t="shared" si="1"/>
        <v>-1584000000</v>
      </c>
      <c r="J18" s="39">
        <f>-(19.8*10^9)*0.05</f>
        <v>-990000000</v>
      </c>
      <c r="K18" s="39">
        <f t="shared" ref="K18:R18" si="2">-(19.8*10^9)*0.05</f>
        <v>-990000000</v>
      </c>
      <c r="L18" s="39">
        <f t="shared" si="2"/>
        <v>-990000000</v>
      </c>
      <c r="M18" s="39">
        <f t="shared" si="2"/>
        <v>-990000000</v>
      </c>
      <c r="N18" s="39">
        <f t="shared" si="2"/>
        <v>-990000000</v>
      </c>
      <c r="O18" s="39">
        <f t="shared" si="2"/>
        <v>-990000000</v>
      </c>
      <c r="P18" s="39">
        <f t="shared" si="2"/>
        <v>-990000000</v>
      </c>
      <c r="Q18" s="39">
        <f t="shared" si="2"/>
        <v>-990000000</v>
      </c>
      <c r="R18" s="39">
        <f t="shared" si="2"/>
        <v>-990000000</v>
      </c>
    </row>
    <row r="19" spans="1:18" s="47" customFormat="1" x14ac:dyDescent="0.25">
      <c r="A19" s="42" t="s">
        <v>136</v>
      </c>
      <c r="B19" s="64"/>
      <c r="C19" s="39"/>
      <c r="D19" s="39">
        <f t="shared" ref="D19:R19" si="3">-(2.6*10^9)*0.8 -(2.6*10^9)*0.08</f>
        <v>-2288000000</v>
      </c>
      <c r="E19" s="39">
        <f t="shared" si="3"/>
        <v>-2288000000</v>
      </c>
      <c r="F19" s="39">
        <f t="shared" si="3"/>
        <v>-2288000000</v>
      </c>
      <c r="G19" s="39">
        <f t="shared" si="3"/>
        <v>-2288000000</v>
      </c>
      <c r="H19" s="39">
        <f t="shared" si="3"/>
        <v>-2288000000</v>
      </c>
      <c r="I19" s="39">
        <f t="shared" si="3"/>
        <v>-2288000000</v>
      </c>
      <c r="J19" s="39">
        <f t="shared" si="3"/>
        <v>-2288000000</v>
      </c>
      <c r="K19" s="39">
        <f t="shared" si="3"/>
        <v>-2288000000</v>
      </c>
      <c r="L19" s="39">
        <f t="shared" si="3"/>
        <v>-2288000000</v>
      </c>
      <c r="M19" s="39">
        <f t="shared" si="3"/>
        <v>-2288000000</v>
      </c>
      <c r="N19" s="39">
        <f t="shared" si="3"/>
        <v>-2288000000</v>
      </c>
      <c r="O19" s="39">
        <f t="shared" si="3"/>
        <v>-2288000000</v>
      </c>
      <c r="P19" s="39">
        <f t="shared" si="3"/>
        <v>-2288000000</v>
      </c>
      <c r="Q19" s="39">
        <f t="shared" si="3"/>
        <v>-2288000000</v>
      </c>
      <c r="R19" s="39">
        <f t="shared" si="3"/>
        <v>-2288000000</v>
      </c>
    </row>
    <row r="20" spans="1:18" s="47" customFormat="1" ht="12.75" x14ac:dyDescent="0.2">
      <c r="A20" s="42" t="s">
        <v>39</v>
      </c>
      <c r="B20" s="42"/>
      <c r="C20" s="39">
        <v>-8500000000</v>
      </c>
      <c r="D20" s="39"/>
      <c r="E20" s="39"/>
      <c r="F20" s="39"/>
      <c r="G20" s="39"/>
      <c r="H20" s="39"/>
      <c r="I20" s="39"/>
      <c r="J20" s="39"/>
      <c r="K20" s="39"/>
      <c r="L20" s="39"/>
      <c r="M20" s="39"/>
      <c r="N20" s="39"/>
      <c r="O20" s="39"/>
      <c r="P20" s="39"/>
      <c r="Q20" s="39"/>
      <c r="R20" s="39"/>
    </row>
    <row r="21" spans="1:18" s="47" customFormat="1" ht="12.75" x14ac:dyDescent="0.2">
      <c r="A21" s="42" t="s">
        <v>40</v>
      </c>
      <c r="B21" s="42"/>
      <c r="C21" s="39">
        <v>-4700000000</v>
      </c>
      <c r="D21" s="39"/>
      <c r="E21" s="39"/>
      <c r="F21" s="39"/>
      <c r="G21" s="39"/>
      <c r="H21" s="39"/>
      <c r="I21" s="39"/>
      <c r="J21" s="39"/>
      <c r="K21" s="39"/>
      <c r="L21" s="39"/>
      <c r="M21" s="39"/>
      <c r="N21" s="39"/>
      <c r="O21" s="39"/>
      <c r="P21" s="39"/>
      <c r="Q21" s="39"/>
      <c r="R21" s="39"/>
    </row>
    <row r="22" spans="1:18" s="47" customFormat="1" x14ac:dyDescent="0.25">
      <c r="A22" s="42" t="s">
        <v>41</v>
      </c>
      <c r="B22" s="64"/>
      <c r="C22" s="39">
        <f>-((2.7*0.5)+(3.5*0.5))*10^9</f>
        <v>-3100000000</v>
      </c>
      <c r="D22" s="39"/>
      <c r="E22" s="39"/>
      <c r="F22" s="39"/>
      <c r="G22" s="39"/>
      <c r="H22" s="39"/>
      <c r="I22" s="39"/>
      <c r="J22" s="39"/>
      <c r="K22" s="39"/>
      <c r="L22" s="39"/>
      <c r="M22" s="39"/>
      <c r="N22" s="39"/>
      <c r="O22" s="39"/>
      <c r="P22" s="39"/>
      <c r="Q22" s="39"/>
      <c r="R22" s="39"/>
    </row>
    <row r="23" spans="1:18" s="47" customFormat="1" ht="12.75" x14ac:dyDescent="0.2">
      <c r="A23" s="42" t="s">
        <v>42</v>
      </c>
      <c r="B23" s="42"/>
      <c r="C23" s="39">
        <v>-500000000</v>
      </c>
      <c r="D23" s="39"/>
      <c r="E23" s="39"/>
      <c r="F23" s="39"/>
      <c r="G23" s="39"/>
      <c r="H23" s="39"/>
      <c r="I23" s="39"/>
      <c r="J23" s="39"/>
      <c r="K23" s="39"/>
      <c r="L23" s="39"/>
      <c r="M23" s="39"/>
      <c r="N23" s="39"/>
      <c r="O23" s="39"/>
      <c r="P23" s="39"/>
      <c r="Q23" s="39"/>
      <c r="R23" s="39"/>
    </row>
    <row r="24" spans="1:18" s="46" customFormat="1" ht="12.75" x14ac:dyDescent="0.2">
      <c r="A24" s="48" t="s">
        <v>133</v>
      </c>
      <c r="B24" s="48"/>
      <c r="C24" s="41">
        <f>SUM(C16:C23)</f>
        <v>-16800000000</v>
      </c>
      <c r="D24" s="41">
        <f t="shared" ref="D24:R24" si="4">SUM(D15:D23)</f>
        <v>4600557413.7263622</v>
      </c>
      <c r="E24" s="41">
        <f t="shared" si="4"/>
        <v>4624574813.7263622</v>
      </c>
      <c r="F24" s="41">
        <f t="shared" si="4"/>
        <v>4650193373.7263622</v>
      </c>
      <c r="G24" s="41">
        <f t="shared" si="4"/>
        <v>4676612513.7263622</v>
      </c>
      <c r="H24" s="41">
        <f t="shared" si="4"/>
        <v>4703832233.7263622</v>
      </c>
      <c r="I24" s="41">
        <f t="shared" si="4"/>
        <v>4731852533.7263622</v>
      </c>
      <c r="J24" s="41">
        <f t="shared" si="4"/>
        <v>5355473993.7263622</v>
      </c>
      <c r="K24" s="41">
        <f t="shared" si="4"/>
        <v>5385896033.7263622</v>
      </c>
      <c r="L24" s="41">
        <f t="shared" si="4"/>
        <v>5417919233.7263622</v>
      </c>
      <c r="M24" s="41">
        <f t="shared" si="4"/>
        <v>5451543593.7263622</v>
      </c>
      <c r="N24" s="41">
        <f t="shared" si="4"/>
        <v>5485968533.7263622</v>
      </c>
      <c r="O24" s="41">
        <f t="shared" si="4"/>
        <v>5521994633.7263622</v>
      </c>
      <c r="P24" s="41">
        <f t="shared" si="4"/>
        <v>5558821313.7263622</v>
      </c>
      <c r="Q24" s="41">
        <f t="shared" si="4"/>
        <v>5598049733.7263622</v>
      </c>
      <c r="R24" s="41">
        <f t="shared" si="4"/>
        <v>4790915218.7096767</v>
      </c>
    </row>
    <row r="26" spans="1:18" x14ac:dyDescent="0.25">
      <c r="A26" s="170" t="s">
        <v>137</v>
      </c>
      <c r="B26" s="171"/>
      <c r="C26" s="45">
        <f>+C24+NPV($B$3,D24:R24)</f>
        <v>39375357031.878387</v>
      </c>
    </row>
    <row r="29" spans="1:18" ht="15.75" x14ac:dyDescent="0.25">
      <c r="A29" s="52" t="s">
        <v>138</v>
      </c>
      <c r="B29" s="66"/>
    </row>
    <row r="30" spans="1:18" s="53" customFormat="1" x14ac:dyDescent="0.25">
      <c r="A30" s="49" t="s">
        <v>76</v>
      </c>
      <c r="B30" s="49" t="s">
        <v>21</v>
      </c>
      <c r="C30" s="49"/>
      <c r="D30" s="49">
        <v>2030</v>
      </c>
      <c r="E30" s="49">
        <v>2031</v>
      </c>
      <c r="F30" s="49">
        <v>2032</v>
      </c>
      <c r="G30" s="49">
        <v>2033</v>
      </c>
      <c r="H30" s="49">
        <v>2034</v>
      </c>
      <c r="I30" s="49">
        <v>2035</v>
      </c>
      <c r="J30" s="49">
        <v>2036</v>
      </c>
      <c r="K30" s="49">
        <v>2037</v>
      </c>
      <c r="L30" s="49">
        <v>2038</v>
      </c>
      <c r="M30" s="49">
        <v>2039</v>
      </c>
      <c r="N30" s="49">
        <v>2040</v>
      </c>
      <c r="O30" s="49">
        <v>2041</v>
      </c>
      <c r="P30" s="49">
        <v>2042</v>
      </c>
      <c r="Q30" s="49">
        <v>2043</v>
      </c>
      <c r="R30" s="49">
        <v>2044</v>
      </c>
    </row>
    <row r="31" spans="1:18" s="53" customFormat="1" x14ac:dyDescent="0.25">
      <c r="A31" s="42" t="s">
        <v>139</v>
      </c>
      <c r="B31" s="93"/>
      <c r="C31" s="92"/>
      <c r="D31" s="39">
        <f>-$B$10*Karbonprisbaner!I$9</f>
        <v>-149500000</v>
      </c>
      <c r="E31" s="39">
        <f>-$B$10*Karbonprisbaner!J$9</f>
        <v>-163400000</v>
      </c>
      <c r="F31" s="39">
        <f>-$B$10*Karbonprisbaner!K$9</f>
        <v>-178600000</v>
      </c>
      <c r="G31" s="39">
        <f>-$B$10*Karbonprisbaner!L$9</f>
        <v>-195200000</v>
      </c>
      <c r="H31" s="39">
        <f>-$B$10*Karbonprisbaner!M$9</f>
        <v>-213350000</v>
      </c>
      <c r="I31" s="39">
        <f>-$B$10*Karbonprisbaner!N$9</f>
        <v>-233200000</v>
      </c>
      <c r="J31" s="39">
        <f>-$B$10*Karbonprisbaner!O$9</f>
        <v>-254900000</v>
      </c>
      <c r="K31" s="39">
        <f>-$B$10*Karbonprisbaner!P$9</f>
        <v>-278600000</v>
      </c>
      <c r="L31" s="39">
        <f>-$B$10*Karbonprisbaner!Q$9</f>
        <v>-304550000</v>
      </c>
      <c r="M31" s="39">
        <f>-$B$10*Karbonprisbaner!R$9</f>
        <v>-332850000</v>
      </c>
      <c r="N31" s="39">
        <f>-$B$10*Karbonprisbaner!S$9</f>
        <v>-363850000</v>
      </c>
      <c r="O31" s="39">
        <f>-$B$10*Karbonprisbaner!T$9</f>
        <v>-379400000</v>
      </c>
      <c r="P31" s="39">
        <f>-$B$10*Karbonprisbaner!U$9</f>
        <v>-395600000</v>
      </c>
      <c r="Q31" s="39">
        <f>-$B$10*Karbonprisbaner!V$9</f>
        <v>-412500000</v>
      </c>
      <c r="R31" s="39">
        <f>-$B$10*Karbonprisbaner!W$9</f>
        <v>-430150000</v>
      </c>
    </row>
    <row r="32" spans="1:18" x14ac:dyDescent="0.25">
      <c r="A32" s="42" t="s">
        <v>140</v>
      </c>
      <c r="B32" s="64"/>
      <c r="C32" s="39"/>
      <c r="D32" s="39">
        <f>+$B$8*Karbonprisbaner!I$9</f>
        <v>2543234200</v>
      </c>
      <c r="E32" s="39">
        <f>+$B$8*Karbonprisbaner!J$9</f>
        <v>2779695440</v>
      </c>
      <c r="F32" s="39">
        <f>+$B$8*Karbonprisbaner!K$9</f>
        <v>3038271760</v>
      </c>
      <c r="G32" s="39">
        <f>+$B$8*Karbonprisbaner!L$9</f>
        <v>3320664320</v>
      </c>
      <c r="H32" s="39">
        <f>+$B$8*Karbonprisbaner!M$9</f>
        <v>3629424860</v>
      </c>
      <c r="I32" s="39">
        <f>+$B$8*Karbonprisbaner!N$9</f>
        <v>3967105120</v>
      </c>
      <c r="J32" s="39">
        <f>+$B$8*Karbonprisbaner!O$9</f>
        <v>4336256840</v>
      </c>
      <c r="K32" s="39">
        <f>+$B$8*Karbonprisbaner!P$9</f>
        <v>4739431760</v>
      </c>
      <c r="L32" s="39">
        <f>+$B$8*Karbonprisbaner!Q$9</f>
        <v>5180882780</v>
      </c>
      <c r="M32" s="39">
        <f>+$B$8*Karbonprisbaner!R$9</f>
        <v>5662311060</v>
      </c>
      <c r="N32" s="39">
        <f>+$B$8*Karbonprisbaner!S$9</f>
        <v>6189670660</v>
      </c>
      <c r="O32" s="39">
        <f>+$B$8*Karbonprisbaner!T$9</f>
        <v>6454201040</v>
      </c>
      <c r="P32" s="39">
        <f>+$B$8*Karbonprisbaner!U$9</f>
        <v>6729788960</v>
      </c>
      <c r="Q32" s="39">
        <f>+$B$8*Karbonprisbaner!V$9</f>
        <v>7017285000</v>
      </c>
      <c r="R32" s="39">
        <f>+$B$8*Karbonprisbaner!W$9</f>
        <v>7317539740</v>
      </c>
    </row>
    <row r="33" spans="1:18" x14ac:dyDescent="0.25">
      <c r="A33" s="42" t="s">
        <v>36</v>
      </c>
      <c r="B33" s="64"/>
      <c r="C33" s="39"/>
      <c r="D33" s="39">
        <f>((6.5*10^9)/26.97)*3.4*9.6</f>
        <v>7866518353.7263622</v>
      </c>
      <c r="E33" s="39">
        <f t="shared" ref="E33:Q33" si="5">((6.5*10^9)/26.97)*3.4*9.6</f>
        <v>7866518353.7263622</v>
      </c>
      <c r="F33" s="39">
        <f t="shared" si="5"/>
        <v>7866518353.7263622</v>
      </c>
      <c r="G33" s="39">
        <f t="shared" si="5"/>
        <v>7866518353.7263622</v>
      </c>
      <c r="H33" s="39">
        <f t="shared" si="5"/>
        <v>7866518353.7263622</v>
      </c>
      <c r="I33" s="39">
        <f t="shared" si="5"/>
        <v>7866518353.7263622</v>
      </c>
      <c r="J33" s="39">
        <f t="shared" si="5"/>
        <v>7866518353.7263622</v>
      </c>
      <c r="K33" s="39">
        <f t="shared" si="5"/>
        <v>7866518353.7263622</v>
      </c>
      <c r="L33" s="39">
        <f t="shared" si="5"/>
        <v>7866518353.7263622</v>
      </c>
      <c r="M33" s="39">
        <f t="shared" si="5"/>
        <v>7866518353.7263622</v>
      </c>
      <c r="N33" s="39">
        <f t="shared" si="5"/>
        <v>7866518353.7263622</v>
      </c>
      <c r="O33" s="39">
        <f t="shared" si="5"/>
        <v>7866518353.7263622</v>
      </c>
      <c r="P33" s="39">
        <f t="shared" si="5"/>
        <v>7866518353.7263622</v>
      </c>
      <c r="Q33" s="39">
        <f t="shared" si="5"/>
        <v>7866518353.7263622</v>
      </c>
      <c r="R33" s="39">
        <f>((5.8*10^9)/26.97)*3.4*9.6</f>
        <v>7019354838.7096767</v>
      </c>
    </row>
    <row r="34" spans="1:18" x14ac:dyDescent="0.25">
      <c r="A34" s="42" t="s">
        <v>37</v>
      </c>
      <c r="B34" s="64"/>
      <c r="C34" s="39"/>
      <c r="D34" s="39">
        <f t="shared" ref="D34:I34" si="6">(-19.8*10^9)*0.08</f>
        <v>-1584000000</v>
      </c>
      <c r="E34" s="39">
        <f t="shared" si="6"/>
        <v>-1584000000</v>
      </c>
      <c r="F34" s="39">
        <f t="shared" si="6"/>
        <v>-1584000000</v>
      </c>
      <c r="G34" s="39">
        <f t="shared" si="6"/>
        <v>-1584000000</v>
      </c>
      <c r="H34" s="39">
        <f t="shared" si="6"/>
        <v>-1584000000</v>
      </c>
      <c r="I34" s="39">
        <f t="shared" si="6"/>
        <v>-1584000000</v>
      </c>
      <c r="J34" s="39">
        <f>(-19.8*10^9)*0.05</f>
        <v>-990000000</v>
      </c>
      <c r="K34" s="39">
        <f t="shared" ref="K34:R34" si="7">(-19.8*10^9)*0.05</f>
        <v>-990000000</v>
      </c>
      <c r="L34" s="39">
        <f t="shared" si="7"/>
        <v>-990000000</v>
      </c>
      <c r="M34" s="39">
        <f t="shared" si="7"/>
        <v>-990000000</v>
      </c>
      <c r="N34" s="39">
        <f t="shared" si="7"/>
        <v>-990000000</v>
      </c>
      <c r="O34" s="39">
        <f t="shared" si="7"/>
        <v>-990000000</v>
      </c>
      <c r="P34" s="39">
        <f t="shared" si="7"/>
        <v>-990000000</v>
      </c>
      <c r="Q34" s="39">
        <f t="shared" si="7"/>
        <v>-990000000</v>
      </c>
      <c r="R34" s="39">
        <f t="shared" si="7"/>
        <v>-990000000</v>
      </c>
    </row>
    <row r="35" spans="1:18" x14ac:dyDescent="0.25">
      <c r="A35" s="42" t="s">
        <v>136</v>
      </c>
      <c r="B35" s="64"/>
      <c r="C35" s="39"/>
      <c r="D35" s="39">
        <f t="shared" ref="D35:R35" si="8">-(2.6*10^9)*0.8 -(2.6*10^9)*0.08</f>
        <v>-2288000000</v>
      </c>
      <c r="E35" s="39">
        <f t="shared" si="8"/>
        <v>-2288000000</v>
      </c>
      <c r="F35" s="39">
        <f t="shared" si="8"/>
        <v>-2288000000</v>
      </c>
      <c r="G35" s="39">
        <f t="shared" si="8"/>
        <v>-2288000000</v>
      </c>
      <c r="H35" s="39">
        <f t="shared" si="8"/>
        <v>-2288000000</v>
      </c>
      <c r="I35" s="39">
        <f t="shared" si="8"/>
        <v>-2288000000</v>
      </c>
      <c r="J35" s="39">
        <f t="shared" si="8"/>
        <v>-2288000000</v>
      </c>
      <c r="K35" s="39">
        <f t="shared" si="8"/>
        <v>-2288000000</v>
      </c>
      <c r="L35" s="39">
        <f t="shared" si="8"/>
        <v>-2288000000</v>
      </c>
      <c r="M35" s="39">
        <f t="shared" si="8"/>
        <v>-2288000000</v>
      </c>
      <c r="N35" s="39">
        <f t="shared" si="8"/>
        <v>-2288000000</v>
      </c>
      <c r="O35" s="39">
        <f t="shared" si="8"/>
        <v>-2288000000</v>
      </c>
      <c r="P35" s="39">
        <f t="shared" si="8"/>
        <v>-2288000000</v>
      </c>
      <c r="Q35" s="39">
        <f t="shared" si="8"/>
        <v>-2288000000</v>
      </c>
      <c r="R35" s="39">
        <f t="shared" si="8"/>
        <v>-2288000000</v>
      </c>
    </row>
    <row r="36" spans="1:18" x14ac:dyDescent="0.25">
      <c r="A36" s="42" t="s">
        <v>39</v>
      </c>
      <c r="B36" s="42"/>
      <c r="C36" s="39">
        <v>-8500000000</v>
      </c>
      <c r="D36" s="39"/>
      <c r="E36" s="39"/>
      <c r="F36" s="39"/>
      <c r="G36" s="39"/>
      <c r="H36" s="39"/>
      <c r="I36" s="39"/>
      <c r="J36" s="39"/>
      <c r="K36" s="39"/>
      <c r="L36" s="39"/>
      <c r="M36" s="39"/>
      <c r="N36" s="39"/>
      <c r="O36" s="39"/>
      <c r="P36" s="39"/>
      <c r="Q36" s="39"/>
      <c r="R36" s="39"/>
    </row>
    <row r="37" spans="1:18" x14ac:dyDescent="0.25">
      <c r="A37" s="42" t="s">
        <v>40</v>
      </c>
      <c r="B37" s="42"/>
      <c r="C37" s="39">
        <v>-4700000000</v>
      </c>
      <c r="D37" s="39"/>
      <c r="E37" s="39"/>
      <c r="F37" s="39"/>
      <c r="G37" s="39"/>
      <c r="H37" s="39"/>
      <c r="I37" s="39"/>
      <c r="J37" s="39"/>
      <c r="K37" s="39"/>
      <c r="L37" s="39"/>
      <c r="M37" s="39"/>
      <c r="N37" s="39"/>
      <c r="O37" s="39"/>
      <c r="P37" s="39"/>
      <c r="Q37" s="39"/>
      <c r="R37" s="39"/>
    </row>
    <row r="38" spans="1:18" x14ac:dyDescent="0.25">
      <c r="A38" s="42" t="s">
        <v>41</v>
      </c>
      <c r="B38" s="84"/>
      <c r="C38" s="39">
        <f>-((2.7*0.5)+(3.5*0.5))*10^9</f>
        <v>-3100000000</v>
      </c>
      <c r="D38" s="39"/>
      <c r="E38" s="39"/>
      <c r="F38" s="39"/>
      <c r="G38" s="39"/>
      <c r="H38" s="39"/>
      <c r="I38" s="39"/>
      <c r="J38" s="39"/>
      <c r="K38" s="39"/>
      <c r="L38" s="39"/>
      <c r="M38" s="39"/>
      <c r="N38" s="39"/>
      <c r="O38" s="39"/>
      <c r="P38" s="39"/>
      <c r="Q38" s="39"/>
      <c r="R38" s="39"/>
    </row>
    <row r="39" spans="1:18" x14ac:dyDescent="0.25">
      <c r="A39" s="42" t="s">
        <v>42</v>
      </c>
      <c r="B39" s="42"/>
      <c r="C39" s="39">
        <v>-500000000</v>
      </c>
      <c r="D39" s="39"/>
      <c r="E39" s="39"/>
      <c r="F39" s="39"/>
      <c r="G39" s="39"/>
      <c r="H39" s="39"/>
      <c r="I39" s="39"/>
      <c r="J39" s="39"/>
      <c r="K39" s="39"/>
      <c r="L39" s="39"/>
      <c r="M39" s="39"/>
      <c r="N39" s="39"/>
      <c r="O39" s="39"/>
      <c r="P39" s="39"/>
      <c r="Q39" s="39"/>
      <c r="R39" s="39"/>
    </row>
    <row r="40" spans="1:18" s="51" customFormat="1" x14ac:dyDescent="0.25">
      <c r="A40" s="48" t="s">
        <v>138</v>
      </c>
      <c r="B40" s="48"/>
      <c r="C40" s="41">
        <f>SUM(C32:C39)</f>
        <v>-16800000000</v>
      </c>
      <c r="D40" s="41">
        <f t="shared" ref="D40:R40" si="9">SUM(D31:D39)</f>
        <v>6388252553.7263622</v>
      </c>
      <c r="E40" s="41">
        <f t="shared" si="9"/>
        <v>6610813793.7263622</v>
      </c>
      <c r="F40" s="41">
        <f t="shared" si="9"/>
        <v>6854190113.7263622</v>
      </c>
      <c r="G40" s="41">
        <f t="shared" si="9"/>
        <v>7119982673.7263622</v>
      </c>
      <c r="H40" s="41">
        <f t="shared" si="9"/>
        <v>7410593213.7263622</v>
      </c>
      <c r="I40" s="41">
        <f t="shared" si="9"/>
        <v>7728423473.7263622</v>
      </c>
      <c r="J40" s="41">
        <f t="shared" si="9"/>
        <v>8669875193.7263622</v>
      </c>
      <c r="K40" s="41">
        <f t="shared" si="9"/>
        <v>9049350113.7263622</v>
      </c>
      <c r="L40" s="41">
        <f t="shared" si="9"/>
        <v>9464851133.7263622</v>
      </c>
      <c r="M40" s="41">
        <f t="shared" si="9"/>
        <v>9917979413.7263622</v>
      </c>
      <c r="N40" s="41">
        <f t="shared" si="9"/>
        <v>10414339013.726362</v>
      </c>
      <c r="O40" s="41">
        <f t="shared" si="9"/>
        <v>10663319393.726362</v>
      </c>
      <c r="P40" s="41">
        <f t="shared" si="9"/>
        <v>10922707313.726362</v>
      </c>
      <c r="Q40" s="41">
        <f t="shared" si="9"/>
        <v>11193303353.726362</v>
      </c>
      <c r="R40" s="41">
        <f t="shared" si="9"/>
        <v>10628744578.709677</v>
      </c>
    </row>
    <row r="41" spans="1:18" x14ac:dyDescent="0.25">
      <c r="C41" s="24"/>
      <c r="D41" s="24"/>
      <c r="E41" s="24"/>
      <c r="F41" s="24"/>
      <c r="G41" s="24"/>
      <c r="H41" s="24"/>
      <c r="I41" s="24"/>
      <c r="J41" s="24"/>
      <c r="K41" s="24"/>
      <c r="L41" s="24"/>
      <c r="M41" s="24"/>
      <c r="N41" s="24"/>
      <c r="O41" s="24"/>
      <c r="P41" s="24"/>
      <c r="Q41" s="24"/>
    </row>
    <row r="42" spans="1:18" x14ac:dyDescent="0.25">
      <c r="D42" s="24"/>
      <c r="E42" s="24"/>
      <c r="F42" s="24"/>
      <c r="G42" s="24"/>
      <c r="H42" s="24"/>
      <c r="I42" s="24"/>
      <c r="J42" s="24"/>
      <c r="K42" s="24"/>
      <c r="L42" s="24"/>
      <c r="M42" s="24"/>
      <c r="N42" s="24"/>
      <c r="O42" s="24"/>
      <c r="P42" s="24"/>
      <c r="Q42" s="24"/>
      <c r="R42" s="24"/>
    </row>
    <row r="43" spans="1:18" x14ac:dyDescent="0.25">
      <c r="A43" s="170" t="s">
        <v>141</v>
      </c>
      <c r="B43" s="171"/>
      <c r="C43" s="45">
        <f>+C40+NPV($B$3,D40:R40)</f>
        <v>78734535007.634155</v>
      </c>
    </row>
    <row r="44" spans="1:18" x14ac:dyDescent="0.25">
      <c r="D44" s="24">
        <f>NPV($B$3,D34:R34)</f>
        <v>-14121032850.753769</v>
      </c>
    </row>
    <row r="45" spans="1:18" x14ac:dyDescent="0.25">
      <c r="D45" s="24"/>
    </row>
    <row r="46" spans="1:18" ht="18.75" x14ac:dyDescent="0.3">
      <c r="A46" s="99" t="s">
        <v>142</v>
      </c>
      <c r="D46" s="24"/>
    </row>
    <row r="47" spans="1:18" ht="15.75" x14ac:dyDescent="0.25">
      <c r="A47" s="50" t="s">
        <v>133</v>
      </c>
      <c r="B47" s="66"/>
      <c r="D47">
        <v>1</v>
      </c>
      <c r="E47">
        <v>2</v>
      </c>
      <c r="F47">
        <v>3</v>
      </c>
      <c r="G47">
        <v>4</v>
      </c>
      <c r="H47">
        <v>5</v>
      </c>
      <c r="I47">
        <v>6</v>
      </c>
      <c r="J47">
        <v>7</v>
      </c>
      <c r="K47">
        <v>8</v>
      </c>
      <c r="L47">
        <v>9</v>
      </c>
      <c r="M47">
        <v>10</v>
      </c>
      <c r="N47">
        <v>11</v>
      </c>
      <c r="O47">
        <v>12</v>
      </c>
      <c r="P47">
        <v>13</v>
      </c>
      <c r="Q47">
        <v>14</v>
      </c>
    </row>
    <row r="48" spans="1:18" s="61" customFormat="1" ht="12.75" x14ac:dyDescent="0.2">
      <c r="A48" s="49" t="s">
        <v>76</v>
      </c>
      <c r="B48" s="49" t="s">
        <v>21</v>
      </c>
      <c r="C48" s="49"/>
      <c r="D48" s="49">
        <v>2030</v>
      </c>
      <c r="E48" s="49">
        <v>2031</v>
      </c>
      <c r="F48" s="49">
        <v>2032</v>
      </c>
      <c r="G48" s="49">
        <v>2033</v>
      </c>
      <c r="H48" s="49">
        <v>2034</v>
      </c>
      <c r="I48" s="49">
        <v>2035</v>
      </c>
      <c r="J48" s="49">
        <v>2036</v>
      </c>
      <c r="K48" s="49">
        <v>2037</v>
      </c>
      <c r="L48" s="49">
        <v>2038</v>
      </c>
      <c r="M48" s="49">
        <v>2039</v>
      </c>
      <c r="N48" s="49">
        <v>2040</v>
      </c>
      <c r="O48" s="49">
        <v>2041</v>
      </c>
      <c r="P48" s="49">
        <v>2042</v>
      </c>
      <c r="Q48" s="49">
        <v>2043</v>
      </c>
    </row>
    <row r="49" spans="1:18" s="34" customFormat="1" ht="12.75" x14ac:dyDescent="0.2">
      <c r="A49" s="42" t="s">
        <v>134</v>
      </c>
      <c r="B49" s="89">
        <v>5</v>
      </c>
      <c r="C49" s="39"/>
      <c r="D49" s="39">
        <f>-($B$8+$B$10)*Karbonprisbaner!I$8</f>
        <v>-681739060</v>
      </c>
      <c r="E49" s="39">
        <f>-($B$8+$B$10)*Karbonprisbaner!J$8</f>
        <v>-708756460</v>
      </c>
      <c r="F49" s="39">
        <f>-($B$8+$B$10)*Karbonprisbaner!K$8</f>
        <v>-737575020</v>
      </c>
      <c r="G49" s="39">
        <f>-($B$8+$B$10)*Karbonprisbaner!L$8</f>
        <v>-767294160</v>
      </c>
      <c r="H49" s="39">
        <f>-($B$8+$B$10)*Karbonprisbaner!M$8</f>
        <v>-797913880</v>
      </c>
      <c r="I49" s="39">
        <f>-($B$8+$B$10)*Karbonprisbaner!N$8</f>
        <v>-829434180</v>
      </c>
      <c r="J49" s="39">
        <f>-($B$8+$B$10)*Karbonprisbaner!O$8</f>
        <v>-862755640</v>
      </c>
      <c r="K49" s="39">
        <f>-($B$8+$B$10)*Karbonprisbaner!P$8</f>
        <v>-896977680</v>
      </c>
      <c r="L49" s="39">
        <f>-($B$8+$B$10)*Karbonprisbaner!Q$8</f>
        <v>-933000880</v>
      </c>
      <c r="M49" s="39">
        <f>-($B$8+$B$10)*Karbonprisbaner!R$8</f>
        <v>-970825240</v>
      </c>
      <c r="N49" s="39">
        <f>-($B$8+$B$10)*Karbonprisbaner!S$8</f>
        <v>-1009550180</v>
      </c>
      <c r="O49" s="39">
        <f>-($B$8+$B$10)*Karbonprisbaner!T$8</f>
        <v>-1050076280</v>
      </c>
      <c r="P49" s="39">
        <f>-($B$8+$B$10)*Karbonprisbaner!U$8</f>
        <v>-1091502960</v>
      </c>
      <c r="Q49" s="39">
        <f>-($B$8+$B$10)*Karbonprisbaner!V$8</f>
        <v>-1135631380</v>
      </c>
      <c r="R49" s="37"/>
    </row>
    <row r="50" spans="1:18" s="34" customFormat="1" ht="12.75" x14ac:dyDescent="0.2">
      <c r="A50" s="42" t="s">
        <v>36</v>
      </c>
      <c r="B50" s="89">
        <v>6</v>
      </c>
      <c r="C50" s="39"/>
      <c r="D50" s="39">
        <f>((6.5*10^9)/26.97)*3.4*9.6</f>
        <v>7866518353.7263622</v>
      </c>
      <c r="E50" s="39">
        <f t="shared" ref="E50:Q50" si="10">((6.5*10^9)/26.97)*3.4*9.6</f>
        <v>7866518353.7263622</v>
      </c>
      <c r="F50" s="39">
        <f t="shared" si="10"/>
        <v>7866518353.7263622</v>
      </c>
      <c r="G50" s="39">
        <f t="shared" si="10"/>
        <v>7866518353.7263622</v>
      </c>
      <c r="H50" s="39">
        <f t="shared" si="10"/>
        <v>7866518353.7263622</v>
      </c>
      <c r="I50" s="39">
        <f t="shared" si="10"/>
        <v>7866518353.7263622</v>
      </c>
      <c r="J50" s="39">
        <f t="shared" si="10"/>
        <v>7866518353.7263622</v>
      </c>
      <c r="K50" s="39">
        <f t="shared" si="10"/>
        <v>7866518353.7263622</v>
      </c>
      <c r="L50" s="39">
        <f t="shared" si="10"/>
        <v>7866518353.7263622</v>
      </c>
      <c r="M50" s="39">
        <f t="shared" si="10"/>
        <v>7866518353.7263622</v>
      </c>
      <c r="N50" s="39">
        <f t="shared" si="10"/>
        <v>7866518353.7263622</v>
      </c>
      <c r="O50" s="39">
        <f t="shared" si="10"/>
        <v>7866518353.7263622</v>
      </c>
      <c r="P50" s="39">
        <f t="shared" si="10"/>
        <v>7866518353.7263622</v>
      </c>
      <c r="Q50" s="39">
        <f t="shared" si="10"/>
        <v>7866518353.7263622</v>
      </c>
    </row>
    <row r="51" spans="1:18" s="34" customFormat="1" ht="12.75" x14ac:dyDescent="0.2">
      <c r="A51" s="42" t="s">
        <v>39</v>
      </c>
      <c r="B51" s="89">
        <v>7</v>
      </c>
      <c r="C51" s="39">
        <f>-8.5*10^9</f>
        <v>-8500000000</v>
      </c>
      <c r="D51" s="39"/>
      <c r="E51" s="39"/>
      <c r="F51" s="39"/>
      <c r="G51" s="39"/>
      <c r="H51" s="39"/>
      <c r="I51" s="39"/>
      <c r="J51" s="39"/>
      <c r="K51" s="39"/>
      <c r="L51" s="39"/>
      <c r="M51" s="39"/>
      <c r="N51" s="39"/>
      <c r="O51" s="39"/>
      <c r="P51" s="39"/>
      <c r="Q51" s="39"/>
    </row>
    <row r="52" spans="1:18" s="46" customFormat="1" ht="12.75" x14ac:dyDescent="0.2">
      <c r="A52" s="48" t="s">
        <v>133</v>
      </c>
      <c r="B52" s="48"/>
      <c r="C52" s="41">
        <f>SUM(C51:C51)</f>
        <v>-8500000000</v>
      </c>
      <c r="D52" s="41">
        <f t="shared" ref="D52:Q52" si="11">SUM(D49:D51)</f>
        <v>7184779293.7263622</v>
      </c>
      <c r="E52" s="41">
        <f t="shared" si="11"/>
        <v>7157761893.7263622</v>
      </c>
      <c r="F52" s="41">
        <f t="shared" si="11"/>
        <v>7128943333.7263622</v>
      </c>
      <c r="G52" s="41">
        <f t="shared" si="11"/>
        <v>7099224193.7263622</v>
      </c>
      <c r="H52" s="41">
        <f t="shared" si="11"/>
        <v>7068604473.7263622</v>
      </c>
      <c r="I52" s="41">
        <f t="shared" si="11"/>
        <v>7037084173.7263622</v>
      </c>
      <c r="J52" s="41">
        <f t="shared" si="11"/>
        <v>7003762713.7263622</v>
      </c>
      <c r="K52" s="41">
        <f t="shared" si="11"/>
        <v>6969540673.7263622</v>
      </c>
      <c r="L52" s="41">
        <f t="shared" si="11"/>
        <v>6933517473.7263622</v>
      </c>
      <c r="M52" s="41">
        <f t="shared" si="11"/>
        <v>6895693113.7263622</v>
      </c>
      <c r="N52" s="41">
        <f t="shared" si="11"/>
        <v>6856968173.7263622</v>
      </c>
      <c r="O52" s="41">
        <f t="shared" si="11"/>
        <v>6816442073.7263622</v>
      </c>
      <c r="P52" s="41">
        <f t="shared" si="11"/>
        <v>6775015393.7263622</v>
      </c>
      <c r="Q52" s="41">
        <f t="shared" si="11"/>
        <v>6730886973.7263622</v>
      </c>
    </row>
    <row r="54" spans="1:18" x14ac:dyDescent="0.25">
      <c r="A54" s="170" t="s">
        <v>133</v>
      </c>
      <c r="B54" s="171"/>
      <c r="C54" s="45">
        <f>+C52+NPV($B$3,D52:Q52)</f>
        <v>65415876899.814743</v>
      </c>
    </row>
    <row r="57" spans="1:18" ht="15.75" x14ac:dyDescent="0.25">
      <c r="A57" s="50" t="s">
        <v>138</v>
      </c>
      <c r="B57" s="66"/>
      <c r="D57">
        <v>1</v>
      </c>
      <c r="E57">
        <v>2</v>
      </c>
      <c r="F57">
        <v>3</v>
      </c>
      <c r="G57">
        <v>4</v>
      </c>
      <c r="H57">
        <v>5</v>
      </c>
      <c r="I57">
        <v>6</v>
      </c>
      <c r="J57">
        <v>7</v>
      </c>
      <c r="K57">
        <v>8</v>
      </c>
      <c r="L57">
        <v>9</v>
      </c>
      <c r="M57">
        <v>10</v>
      </c>
      <c r="N57">
        <v>11</v>
      </c>
      <c r="O57">
        <v>12</v>
      </c>
      <c r="P57">
        <v>13</v>
      </c>
      <c r="Q57">
        <v>14</v>
      </c>
    </row>
    <row r="58" spans="1:18" s="61" customFormat="1" ht="12.75" x14ac:dyDescent="0.2">
      <c r="A58" s="49" t="s">
        <v>76</v>
      </c>
      <c r="B58" s="49" t="s">
        <v>21</v>
      </c>
      <c r="C58" s="49"/>
      <c r="D58" s="49">
        <v>2030</v>
      </c>
      <c r="E58" s="49">
        <v>2031</v>
      </c>
      <c r="F58" s="49">
        <v>2032</v>
      </c>
      <c r="G58" s="49">
        <v>2033</v>
      </c>
      <c r="H58" s="49">
        <v>2034</v>
      </c>
      <c r="I58" s="49">
        <v>2035</v>
      </c>
      <c r="J58" s="49">
        <v>2036</v>
      </c>
      <c r="K58" s="49">
        <v>2037</v>
      </c>
      <c r="L58" s="49">
        <v>2038</v>
      </c>
      <c r="M58" s="49">
        <v>2039</v>
      </c>
      <c r="N58" s="49">
        <v>2040</v>
      </c>
      <c r="O58" s="49">
        <v>2041</v>
      </c>
      <c r="P58" s="49">
        <v>2042</v>
      </c>
      <c r="Q58" s="49">
        <v>2043</v>
      </c>
    </row>
    <row r="59" spans="1:18" s="34" customFormat="1" ht="12.75" x14ac:dyDescent="0.2">
      <c r="A59" s="42" t="s">
        <v>143</v>
      </c>
      <c r="B59" s="89">
        <v>5</v>
      </c>
      <c r="C59" s="39"/>
      <c r="D59" s="39">
        <f>-($B$8+$B$10)*Karbonprisbaner!I$9</f>
        <v>-2692734200</v>
      </c>
      <c r="E59" s="39">
        <f>-($B$8+$B$10)*Karbonprisbaner!J$9</f>
        <v>-2943095440</v>
      </c>
      <c r="F59" s="39">
        <f>-($B$8+$B$10)*Karbonprisbaner!K$9</f>
        <v>-3216871760</v>
      </c>
      <c r="G59" s="39">
        <f>-($B$8+$B$10)*Karbonprisbaner!L$9</f>
        <v>-3515864320</v>
      </c>
      <c r="H59" s="39">
        <f>-($B$8+$B$10)*Karbonprisbaner!M$9</f>
        <v>-3842774860</v>
      </c>
      <c r="I59" s="39">
        <f>-($B$8+$B$10)*Karbonprisbaner!N$9</f>
        <v>-4200305120</v>
      </c>
      <c r="J59" s="39">
        <f>-($B$8+$B$10)*Karbonprisbaner!O$9</f>
        <v>-4591156840</v>
      </c>
      <c r="K59" s="39">
        <f>-($B$8+$B$10)*Karbonprisbaner!P$9</f>
        <v>-5018031760</v>
      </c>
      <c r="L59" s="39">
        <f>-($B$8+$B$10)*Karbonprisbaner!Q$9</f>
        <v>-5485432780</v>
      </c>
      <c r="M59" s="39">
        <f>-($B$8+$B$10)*Karbonprisbaner!R$9</f>
        <v>-5995161060</v>
      </c>
      <c r="N59" s="39">
        <f>-($B$8+$B$10)*Karbonprisbaner!S$9</f>
        <v>-6553520660</v>
      </c>
      <c r="O59" s="39">
        <f>-($B$8+$B$10)*Karbonprisbaner!T$9</f>
        <v>-6833601040</v>
      </c>
      <c r="P59" s="39">
        <f>-($B$8+$B$10)*Karbonprisbaner!U$9</f>
        <v>-7125388960</v>
      </c>
      <c r="Q59" s="39">
        <f>-($B$8+$B$10)*Karbonprisbaner!V$9</f>
        <v>-7429785000</v>
      </c>
      <c r="R59" s="37"/>
    </row>
    <row r="60" spans="1:18" s="34" customFormat="1" ht="12.75" x14ac:dyDescent="0.2">
      <c r="A60" s="42" t="s">
        <v>36</v>
      </c>
      <c r="B60" s="89">
        <v>6</v>
      </c>
      <c r="C60" s="39"/>
      <c r="D60" s="39">
        <f>((6.5*10^9)/26.97)*3.4*9.6</f>
        <v>7866518353.7263622</v>
      </c>
      <c r="E60" s="39">
        <f t="shared" ref="E60:Q60" si="12">((6.5*10^9)/26.97)*3.4*9.6</f>
        <v>7866518353.7263622</v>
      </c>
      <c r="F60" s="39">
        <f t="shared" si="12"/>
        <v>7866518353.7263622</v>
      </c>
      <c r="G60" s="39">
        <f t="shared" si="12"/>
        <v>7866518353.7263622</v>
      </c>
      <c r="H60" s="39">
        <f t="shared" si="12"/>
        <v>7866518353.7263622</v>
      </c>
      <c r="I60" s="39">
        <f t="shared" si="12"/>
        <v>7866518353.7263622</v>
      </c>
      <c r="J60" s="39">
        <f t="shared" si="12"/>
        <v>7866518353.7263622</v>
      </c>
      <c r="K60" s="39">
        <f t="shared" si="12"/>
        <v>7866518353.7263622</v>
      </c>
      <c r="L60" s="39">
        <f t="shared" si="12"/>
        <v>7866518353.7263622</v>
      </c>
      <c r="M60" s="39">
        <f t="shared" si="12"/>
        <v>7866518353.7263622</v>
      </c>
      <c r="N60" s="39">
        <f t="shared" si="12"/>
        <v>7866518353.7263622</v>
      </c>
      <c r="O60" s="39">
        <f t="shared" si="12"/>
        <v>7866518353.7263622</v>
      </c>
      <c r="P60" s="39">
        <f t="shared" si="12"/>
        <v>7866518353.7263622</v>
      </c>
      <c r="Q60" s="39">
        <f t="shared" si="12"/>
        <v>7866518353.7263622</v>
      </c>
    </row>
    <row r="61" spans="1:18" s="34" customFormat="1" ht="12.75" x14ac:dyDescent="0.2">
      <c r="A61" s="42" t="s">
        <v>39</v>
      </c>
      <c r="B61" s="89">
        <v>7</v>
      </c>
      <c r="C61" s="39">
        <f>-8.5*10^9</f>
        <v>-8500000000</v>
      </c>
      <c r="D61" s="39"/>
      <c r="E61" s="39"/>
      <c r="F61" s="39"/>
      <c r="G61" s="39"/>
      <c r="H61" s="39"/>
      <c r="I61" s="39"/>
      <c r="J61" s="39"/>
      <c r="K61" s="39"/>
      <c r="L61" s="39"/>
      <c r="M61" s="39"/>
      <c r="N61" s="39"/>
      <c r="O61" s="39"/>
      <c r="P61" s="39"/>
      <c r="Q61" s="39"/>
    </row>
    <row r="62" spans="1:18" s="46" customFormat="1" ht="12.75" x14ac:dyDescent="0.2">
      <c r="A62" s="48" t="s">
        <v>138</v>
      </c>
      <c r="B62" s="48"/>
      <c r="C62" s="41">
        <f>SUM(C61:C61)</f>
        <v>-8500000000</v>
      </c>
      <c r="D62" s="41">
        <f t="shared" ref="D62:Q62" si="13">SUM(D59:D61)</f>
        <v>5173784153.7263622</v>
      </c>
      <c r="E62" s="41">
        <f t="shared" si="13"/>
        <v>4923422913.7263622</v>
      </c>
      <c r="F62" s="41">
        <f t="shared" si="13"/>
        <v>4649646593.7263622</v>
      </c>
      <c r="G62" s="41">
        <f t="shared" si="13"/>
        <v>4350654033.7263622</v>
      </c>
      <c r="H62" s="41">
        <f t="shared" si="13"/>
        <v>4023743493.7263622</v>
      </c>
      <c r="I62" s="41">
        <f t="shared" si="13"/>
        <v>3666213233.7263622</v>
      </c>
      <c r="J62" s="41">
        <f t="shared" si="13"/>
        <v>3275361513.7263622</v>
      </c>
      <c r="K62" s="41">
        <f t="shared" si="13"/>
        <v>2848486593.7263622</v>
      </c>
      <c r="L62" s="41">
        <f t="shared" si="13"/>
        <v>2381085573.7263622</v>
      </c>
      <c r="M62" s="41">
        <f t="shared" si="13"/>
        <v>1871357293.7263622</v>
      </c>
      <c r="N62" s="41">
        <f t="shared" si="13"/>
        <v>1312997693.7263622</v>
      </c>
      <c r="O62" s="41">
        <f t="shared" si="13"/>
        <v>1032917313.7263622</v>
      </c>
      <c r="P62" s="41">
        <f t="shared" si="13"/>
        <v>741129393.72636223</v>
      </c>
      <c r="Q62" s="41">
        <f t="shared" si="13"/>
        <v>436733353.72636223</v>
      </c>
    </row>
    <row r="64" spans="1:18" x14ac:dyDescent="0.25">
      <c r="A64" s="170" t="s">
        <v>138</v>
      </c>
      <c r="B64" s="171"/>
      <c r="C64" s="45">
        <f>+C62+NPV($B$3,D62:Q62)</f>
        <v>24786804310.329948</v>
      </c>
    </row>
    <row r="65" spans="2:2" ht="15.75" thickBot="1" x14ac:dyDescent="0.3"/>
    <row r="66" spans="2:2" ht="15.75" thickBot="1" x14ac:dyDescent="0.3">
      <c r="B66" s="122" t="s">
        <v>55</v>
      </c>
    </row>
    <row r="67" spans="2:2" ht="15.75" thickBot="1" x14ac:dyDescent="0.3">
      <c r="B67" s="122" t="s">
        <v>32</v>
      </c>
    </row>
  </sheetData>
  <mergeCells count="6">
    <mergeCell ref="A64:B64"/>
    <mergeCell ref="A5:B5"/>
    <mergeCell ref="A26:B26"/>
    <mergeCell ref="A43:B43"/>
    <mergeCell ref="A9:B9"/>
    <mergeCell ref="A54:B54"/>
  </mergeCells>
  <hyperlinks>
    <hyperlink ref="B49" location="Noter!A1" display="Noter!A1" xr:uid="{DEBB528F-F762-486F-9116-01655EBC4ED7}"/>
    <hyperlink ref="B50" location="Noter!A1" display="Noter!A1" xr:uid="{D2E47F36-CCBB-457A-984E-F56A601CAE16}"/>
    <hyperlink ref="B51" location="Noter!A1" display="Noter!A1" xr:uid="{B72EB4D9-CDE5-4345-93F9-0C567E72F52D}"/>
    <hyperlink ref="B59" location="Noter!A1" display="Noter!A1" xr:uid="{FF9BF52E-7AEF-4963-9B66-CE51C3AF212B}"/>
    <hyperlink ref="B60" location="Noter!A1" display="Noter!A1" xr:uid="{B7555E0F-0F3F-4E06-A91D-9DA318939BBD}"/>
    <hyperlink ref="B61" location="Noter!A1" display="Noter!A1" xr:uid="{1CAACCF2-1DD8-42EC-9A2D-6CBA4BD604F8}"/>
    <hyperlink ref="D3" location="Meny!A1" display="Tilbake til Meny" xr:uid="{91B75265-124E-4967-9795-557694ABD00D}"/>
    <hyperlink ref="B66" location="Følsomhetsanalyse!A1" display="Tilbake" xr:uid="{8AE13D1D-6E64-409F-AF9F-1ED90C0A3BD2}"/>
    <hyperlink ref="B67" location="Meny!A1" display="Tilbake til Meny" xr:uid="{5E4D0AC5-6D02-43C9-A719-5A1705FDA22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55EF8-B0A2-4D0A-8FF3-6436CE216F27}">
  <dimension ref="A1:CA67"/>
  <sheetViews>
    <sheetView workbookViewId="0">
      <selection activeCell="B2" sqref="B2"/>
    </sheetView>
  </sheetViews>
  <sheetFormatPr baseColWidth="10" defaultColWidth="11.42578125" defaultRowHeight="15" x14ac:dyDescent="0.25"/>
  <cols>
    <col min="1" max="1" width="47.28515625" bestFit="1" customWidth="1"/>
    <col min="2" max="2" width="18.140625" bestFit="1" customWidth="1"/>
    <col min="3" max="3" width="24.28515625" bestFit="1" customWidth="1"/>
    <col min="4" max="4" width="13.42578125" bestFit="1" customWidth="1"/>
    <col min="5" max="5" width="15.140625" bestFit="1" customWidth="1"/>
    <col min="6" max="6" width="24.28515625" bestFit="1" customWidth="1"/>
    <col min="7" max="7" width="14.42578125" bestFit="1" customWidth="1"/>
    <col min="8" max="8" width="24.28515625" bestFit="1" customWidth="1"/>
    <col min="9" max="9" width="14" bestFit="1" customWidth="1"/>
    <col min="10" max="10" width="24.140625" bestFit="1" customWidth="1"/>
    <col min="11" max="23" width="12.28515625" bestFit="1" customWidth="1"/>
  </cols>
  <sheetData>
    <row r="1" spans="1:10" ht="15.75" thickBot="1" x14ac:dyDescent="0.3"/>
    <row r="2" spans="1:10" ht="21.75" thickBot="1" x14ac:dyDescent="0.4">
      <c r="A2" s="30" t="s">
        <v>144</v>
      </c>
      <c r="B2" s="122" t="s">
        <v>32</v>
      </c>
      <c r="E2" s="167" t="s">
        <v>64</v>
      </c>
      <c r="F2" s="167"/>
      <c r="G2" s="167"/>
      <c r="H2" s="167"/>
      <c r="I2" s="167"/>
      <c r="J2" s="167"/>
    </row>
    <row r="3" spans="1:10" x14ac:dyDescent="0.25">
      <c r="E3" s="168">
        <v>0.05</v>
      </c>
      <c r="F3" s="168"/>
      <c r="G3" s="169">
        <v>7.4999999999999997E-2</v>
      </c>
      <c r="H3" s="169"/>
      <c r="I3" s="168">
        <v>0.1</v>
      </c>
      <c r="J3" s="168"/>
    </row>
    <row r="4" spans="1:10" x14ac:dyDescent="0.25">
      <c r="B4" s="160" t="s">
        <v>31</v>
      </c>
      <c r="C4" s="161"/>
      <c r="E4" s="160" t="s">
        <v>31</v>
      </c>
      <c r="F4" s="161"/>
      <c r="G4" s="160" t="s">
        <v>31</v>
      </c>
      <c r="H4" s="161"/>
      <c r="I4" s="160" t="s">
        <v>31</v>
      </c>
      <c r="J4" s="161"/>
    </row>
    <row r="5" spans="1:10" x14ac:dyDescent="0.25">
      <c r="B5" s="63" t="s">
        <v>26</v>
      </c>
      <c r="C5" s="63" t="s">
        <v>27</v>
      </c>
      <c r="E5" s="63" t="s">
        <v>26</v>
      </c>
      <c r="F5" s="63" t="s">
        <v>27</v>
      </c>
      <c r="G5" s="63" t="s">
        <v>26</v>
      </c>
      <c r="H5" s="63" t="s">
        <v>27</v>
      </c>
      <c r="I5" s="63" t="s">
        <v>26</v>
      </c>
      <c r="J5" s="63" t="s">
        <v>27</v>
      </c>
    </row>
    <row r="6" spans="1:10" x14ac:dyDescent="0.25">
      <c r="A6" s="42" t="s">
        <v>33</v>
      </c>
      <c r="B6" s="83">
        <v>14</v>
      </c>
      <c r="C6" s="83">
        <v>14</v>
      </c>
      <c r="E6" s="3"/>
      <c r="F6" s="3"/>
      <c r="G6" s="3"/>
      <c r="H6" s="3"/>
    </row>
    <row r="7" spans="1:10" x14ac:dyDescent="0.25">
      <c r="A7" s="42" t="s">
        <v>34</v>
      </c>
      <c r="B7" s="65">
        <f>NPV('NNV- nullalternativ'!$B$3,'NNV- nullalternativ'!$D$14:$R$14)</f>
        <v>-21213850062.612831</v>
      </c>
      <c r="C7" s="65">
        <f>NPV('NNV- Elektrifisering av Melkøya'!$B$3,'NNV- Elektrifisering av Melkøya'!$D$14:$Q$14)</f>
        <v>-1177788206.6342149</v>
      </c>
      <c r="E7" s="65">
        <f>NPV('NNV- nullalternativ'!$B$3,'NNV- nullalternativ'!$D$14:$R$14)*1.05</f>
        <v>-22274542565.743473</v>
      </c>
      <c r="F7" s="65">
        <f>NPV('NNV- Elektrifisering av Melkøya'!$B$3,'NNV- Elektrifisering av Melkøya'!$D$14:$Q$14)*1.05</f>
        <v>-1236677616.9659257</v>
      </c>
      <c r="G7" s="65">
        <f>NPV('NNV- nullalternativ'!$B$3,'NNV- nullalternativ'!$D$14:$R$14)*1.075</f>
        <v>-22804888817.308792</v>
      </c>
      <c r="H7" s="65">
        <f>NPV('NNV- Elektrifisering av Melkøya'!$B$3,'NNV- Elektrifisering av Melkøya'!$D$14:$Q$14)*1.075</f>
        <v>-1266122322.1317809</v>
      </c>
      <c r="I7" s="65">
        <f>NPV('NNV- nullalternativ'!$B$3,'NNV- nullalternativ'!$D$14:$Q$14)*1.1</f>
        <v>-23335235068.874115</v>
      </c>
      <c r="J7" s="65">
        <f>NPV('NNV- Elektrifisering av Melkøya'!$B$3,'NNV- Elektrifisering av Melkøya'!$D$14:$Q$14)*1.1</f>
        <v>-1295567027.2976365</v>
      </c>
    </row>
    <row r="8" spans="1:10" x14ac:dyDescent="0.25">
      <c r="A8" s="42" t="s">
        <v>35</v>
      </c>
      <c r="C8" s="65">
        <f>NPV('NNV- Elektrifisering av Melkøya'!$B$3,'NNV- Elektrifisering av Melkøya'!$D$15:$Q$15)</f>
        <v>20036061855.978615</v>
      </c>
      <c r="F8" s="65">
        <f>NPV('NNV- Elektrifisering av Melkøya'!$B$3,'NNV- Elektrifisering av Melkøya'!$D$15:$Q$15)*1.05</f>
        <v>21037864948.777546</v>
      </c>
      <c r="H8" s="65">
        <f>NPV('NNV- Elektrifisering av Melkøya'!$B$3,'NNV- Elektrifisering av Melkøya'!$D$15:$Q$15)*1.075</f>
        <v>21538766495.17701</v>
      </c>
      <c r="J8" s="65">
        <f>NPV('NNV- Elektrifisering av Melkøya'!$B$3,'NNV- Elektrifisering av Melkøya'!$D$15:$Q$15)*1.1</f>
        <v>22039668041.576477</v>
      </c>
    </row>
    <row r="9" spans="1:10" x14ac:dyDescent="0.25">
      <c r="A9" s="42" t="s">
        <v>36</v>
      </c>
      <c r="B9" s="65">
        <f>NPV('NNV- nullalternativ'!$B$3,'NNV- nullalternativ'!$D$15:$Q$15)</f>
        <v>83095000397.224274</v>
      </c>
      <c r="C9" s="65">
        <f>NPV('NNV- Elektrifisering av Melkøya'!$B$3,'NNV- Elektrifisering av Melkøya'!$D$16:$Q$16)</f>
        <v>83095000397.224274</v>
      </c>
      <c r="E9" s="65">
        <f>NPV('NNV- nullalternativ'!$B$3,'NNV- nullalternativ'!$D$15:$R$15)</f>
        <v>83095000397.224274</v>
      </c>
      <c r="F9" s="65">
        <f>NPV('NNV- Elektrifisering av Melkøya'!$B$3,'NNV- Elektrifisering av Melkøya'!$D$16:$Q$16)</f>
        <v>83095000397.224274</v>
      </c>
      <c r="G9" s="65">
        <f>NPV('NNV- nullalternativ'!$B$3,'NNV- nullalternativ'!$D$15:$R$15)</f>
        <v>83095000397.224274</v>
      </c>
      <c r="H9" s="65">
        <f>NPV('NNV- Elektrifisering av Melkøya'!$B$3,'NNV- Elektrifisering av Melkøya'!$D$16:$Q$16)</f>
        <v>83095000397.224274</v>
      </c>
      <c r="I9" s="65">
        <f>NPV('NNV- nullalternativ'!$B$3,'NNV- nullalternativ'!$D$15:$Q$15)</f>
        <v>83095000397.224274</v>
      </c>
      <c r="J9" s="65">
        <f>NPV('NNV- Elektrifisering av Melkøya'!$B$3,'NNV- Elektrifisering av Melkøya'!$D$16:$Q$16)</f>
        <v>83095000397.224274</v>
      </c>
    </row>
    <row r="10" spans="1:10" s="81" customFormat="1" x14ac:dyDescent="0.25">
      <c r="A10" s="106" t="s">
        <v>37</v>
      </c>
      <c r="B10" s="107"/>
      <c r="C10" s="108">
        <f>--NPV('NNV- Elektrifisering av Melkøya'!$B$3,'NNV- Elektrifisering av Melkøya'!$D$17:$Q$17)</f>
        <v>-13571320993.067627</v>
      </c>
      <c r="E10" s="107"/>
      <c r="F10" s="108">
        <f>--NPV('NNV- Elektrifisering av Melkøya'!$B$3,'NNV- Elektrifisering av Melkøya'!$D$17:$Q$17)</f>
        <v>-13571320993.067627</v>
      </c>
      <c r="G10" s="107"/>
      <c r="H10" s="108">
        <f>--NPV('NNV- Elektrifisering av Melkøya'!$B$3,'NNV- Elektrifisering av Melkøya'!$D$17:$Q$17)</f>
        <v>-13571320993.067627</v>
      </c>
      <c r="I10" s="107"/>
      <c r="J10" s="108">
        <f>--NPV('NNV- Elektrifisering av Melkøya'!$B$3,'NNV- Elektrifisering av Melkøya'!$D$17:$Q$17)</f>
        <v>-13571320993.067627</v>
      </c>
    </row>
    <row r="11" spans="1:10" x14ac:dyDescent="0.25">
      <c r="A11" s="106" t="s">
        <v>38</v>
      </c>
      <c r="B11" s="107"/>
      <c r="C11" s="108">
        <f>NPV('NNV- Elektrifisering av Melkøya'!$B$3,'NNV- Elektrifisering av Melkøya'!$D$18:$Q$18)</f>
        <v>-24168425262.592682</v>
      </c>
      <c r="D11" s="81"/>
      <c r="E11" s="107"/>
      <c r="F11" s="108">
        <f>NPV('NNV- Elektrifisering av Melkøya'!$B$3,'NNV- Elektrifisering av Melkøya'!$D$18:$Q$18)</f>
        <v>-24168425262.592682</v>
      </c>
      <c r="G11" s="107"/>
      <c r="H11" s="108">
        <f>NPV('NNV- Elektrifisering av Melkøya'!$B$3,'NNV- Elektrifisering av Melkøya'!$D$18:$Q$18)</f>
        <v>-24168425262.592682</v>
      </c>
      <c r="I11" s="107"/>
      <c r="J11" s="108">
        <f>NPV('NNV- Elektrifisering av Melkøya'!$B$3,'NNV- Elektrifisering av Melkøya'!$D$18:$Q$18)</f>
        <v>-24168425262.592682</v>
      </c>
    </row>
    <row r="12" spans="1:10" x14ac:dyDescent="0.25">
      <c r="A12" s="42" t="s">
        <v>39</v>
      </c>
      <c r="B12" s="65">
        <f>+'NNV- nullalternativ'!$C$16</f>
        <v>-8500000000</v>
      </c>
      <c r="C12" s="65">
        <f>'NNV- Elektrifisering av Melkøya'!$C$19</f>
        <v>-8500000000</v>
      </c>
      <c r="E12" s="65">
        <f>+'NNV- nullalternativ'!$C$16</f>
        <v>-8500000000</v>
      </c>
      <c r="F12" s="65">
        <f>'NNV- Elektrifisering av Melkøya'!$C$19</f>
        <v>-8500000000</v>
      </c>
      <c r="G12" s="65">
        <f>+'NNV- nullalternativ'!$C$16</f>
        <v>-8500000000</v>
      </c>
      <c r="H12" s="65">
        <f>'NNV- Elektrifisering av Melkøya'!$C$19</f>
        <v>-8500000000</v>
      </c>
      <c r="I12" s="65">
        <f>+'NNV- nullalternativ'!$C$16</f>
        <v>-8500000000</v>
      </c>
      <c r="J12" s="65">
        <f>'NNV- Elektrifisering av Melkøya'!$C$19</f>
        <v>-8500000000</v>
      </c>
    </row>
    <row r="13" spans="1:10" x14ac:dyDescent="0.25">
      <c r="A13" s="42" t="s">
        <v>40</v>
      </c>
      <c r="B13" s="3"/>
      <c r="C13" s="65">
        <f>'NNV- Elektrifisering av Melkøya'!$C$20</f>
        <v>-4700000000</v>
      </c>
      <c r="E13" s="3"/>
      <c r="F13" s="65">
        <f>'NNV- Elektrifisering av Melkøya'!$C$20</f>
        <v>-4700000000</v>
      </c>
      <c r="G13" s="3"/>
      <c r="H13" s="65">
        <f>'NNV- Elektrifisering av Melkøya'!$C$20</f>
        <v>-4700000000</v>
      </c>
      <c r="I13" s="3"/>
      <c r="J13" s="65">
        <f>'NNV- Elektrifisering av Melkøya'!$C$20</f>
        <v>-4700000000</v>
      </c>
    </row>
    <row r="14" spans="1:10" x14ac:dyDescent="0.25">
      <c r="A14" s="42" t="s">
        <v>41</v>
      </c>
      <c r="B14" s="3"/>
      <c r="C14" s="65">
        <f>+'NNV- Elektrifisering av Melkøya'!$C$21</f>
        <v>-3100000000</v>
      </c>
      <c r="E14" s="3"/>
      <c r="F14" s="65">
        <f>+'NNV- Elektrifisering av Melkøya'!$C$21</f>
        <v>-3100000000</v>
      </c>
      <c r="G14" s="3"/>
      <c r="H14" s="65">
        <f>+'NNV- Elektrifisering av Melkøya'!$C$21</f>
        <v>-3100000000</v>
      </c>
      <c r="I14" s="3"/>
      <c r="J14" s="65">
        <f>+'NNV- Elektrifisering av Melkøya'!$C$21</f>
        <v>-3100000000</v>
      </c>
    </row>
    <row r="15" spans="1:10" x14ac:dyDescent="0.25">
      <c r="A15" s="62" t="s">
        <v>42</v>
      </c>
      <c r="B15" s="3"/>
      <c r="C15" s="65">
        <v>-500000000</v>
      </c>
      <c r="E15" s="101"/>
      <c r="F15" s="65">
        <v>-500000000</v>
      </c>
      <c r="G15" s="101"/>
      <c r="H15" s="65">
        <v>-499999999</v>
      </c>
      <c r="I15" s="3"/>
      <c r="J15" s="65">
        <v>-500000000</v>
      </c>
    </row>
    <row r="16" spans="1:10" x14ac:dyDescent="0.25">
      <c r="A16" s="62" t="s">
        <v>65</v>
      </c>
      <c r="B16" s="3"/>
      <c r="C16" s="65">
        <f>+'NNV- Elektrifisering av Melkøya'!$R$24/1.04^15</f>
        <v>3068751585.9383249</v>
      </c>
      <c r="E16" s="101"/>
      <c r="F16" s="65">
        <f>+'NNV- Elektrifisering av Melkøya'!$R$24/1.04^15</f>
        <v>3068751585.9383249</v>
      </c>
      <c r="G16" s="101"/>
      <c r="H16" s="65">
        <f>+'NNV- Elektrifisering av Melkøya'!$R$24/1.04^15</f>
        <v>3068751585.9383249</v>
      </c>
      <c r="I16" s="3"/>
      <c r="J16" s="65">
        <f>+'NNV- Elektrifisering av Melkøya'!$R$24/1.04^15</f>
        <v>3068751585.9383249</v>
      </c>
    </row>
    <row r="17" spans="1:10" x14ac:dyDescent="0.25">
      <c r="A17" s="48" t="s">
        <v>44</v>
      </c>
      <c r="B17" s="82">
        <f>SUM(B7:B15)</f>
        <v>53381150334.611443</v>
      </c>
      <c r="C17" s="82">
        <f>SUM(C7:C16)</f>
        <v>50482279376.84668</v>
      </c>
      <c r="E17" s="82">
        <f t="shared" ref="E17:J17" si="0">SUM(E7:E16)</f>
        <v>52320457831.480804</v>
      </c>
      <c r="F17" s="82">
        <f t="shared" si="0"/>
        <v>51425193059.313904</v>
      </c>
      <c r="G17" s="82">
        <f t="shared" si="0"/>
        <v>51790111579.915482</v>
      </c>
      <c r="H17" s="82">
        <f t="shared" si="0"/>
        <v>51896649901.547516</v>
      </c>
      <c r="I17" s="82">
        <f t="shared" si="0"/>
        <v>51259765328.350159</v>
      </c>
      <c r="J17" s="82">
        <f t="shared" si="0"/>
        <v>52368106741.781128</v>
      </c>
    </row>
    <row r="19" spans="1:10" s="1" customFormat="1" x14ac:dyDescent="0.25">
      <c r="A19" s="31" t="s">
        <v>49</v>
      </c>
      <c r="B19" s="31"/>
      <c r="C19" s="31"/>
      <c r="D19" s="31"/>
      <c r="E19" s="32">
        <f>E17-B17</f>
        <v>-1060692503.1306381</v>
      </c>
      <c r="F19" s="32">
        <f>F17-C17</f>
        <v>942913682.46722412</v>
      </c>
      <c r="G19" s="32">
        <f>G17-B17</f>
        <v>-1591038754.695961</v>
      </c>
      <c r="H19" s="32">
        <f>H17-C17</f>
        <v>1414370524.7008362</v>
      </c>
      <c r="I19" s="32">
        <f>+I17-B17</f>
        <v>-2121385006.2612839</v>
      </c>
      <c r="J19" s="32">
        <f>+J17-C17</f>
        <v>1885827364.9344482</v>
      </c>
    </row>
    <row r="21" spans="1:10" x14ac:dyDescent="0.25">
      <c r="A21" s="31" t="s">
        <v>50</v>
      </c>
      <c r="B21" s="31"/>
      <c r="C21" s="32">
        <f>+C17-B17</f>
        <v>-2898870957.7647629</v>
      </c>
      <c r="D21" s="31"/>
      <c r="E21" s="31"/>
      <c r="F21" s="32">
        <f>+F17-E17</f>
        <v>-895264772.16690063</v>
      </c>
      <c r="G21" s="31"/>
      <c r="H21" s="32">
        <f>+H17-G17</f>
        <v>106538321.6320343</v>
      </c>
      <c r="I21" s="31"/>
      <c r="J21" s="32">
        <f>+J17-I17</f>
        <v>1108341413.4309692</v>
      </c>
    </row>
    <row r="23" spans="1:10" x14ac:dyDescent="0.25">
      <c r="A23" s="42" t="s">
        <v>67</v>
      </c>
      <c r="B23" s="43">
        <v>0.04</v>
      </c>
    </row>
    <row r="24" spans="1:10" x14ac:dyDescent="0.25">
      <c r="A24" s="34"/>
      <c r="B24" s="34" t="s">
        <v>68</v>
      </c>
    </row>
    <row r="25" spans="1:10" x14ac:dyDescent="0.25">
      <c r="A25" s="172" t="s">
        <v>145</v>
      </c>
      <c r="B25" s="173"/>
      <c r="C25" s="128" t="s">
        <v>146</v>
      </c>
    </row>
    <row r="26" spans="1:10" x14ac:dyDescent="0.25">
      <c r="A26" s="38" t="s">
        <v>70</v>
      </c>
      <c r="B26" s="39">
        <v>850000</v>
      </c>
      <c r="C26" s="39">
        <v>900000</v>
      </c>
    </row>
    <row r="27" spans="1:10" x14ac:dyDescent="0.25">
      <c r="A27" s="38" t="s">
        <v>71</v>
      </c>
      <c r="B27" s="39">
        <v>580</v>
      </c>
      <c r="C27" s="39">
        <v>580</v>
      </c>
    </row>
    <row r="28" spans="1:10" x14ac:dyDescent="0.25">
      <c r="A28" s="40" t="s">
        <v>72</v>
      </c>
      <c r="B28" s="41">
        <f>SUM(B26:B27)</f>
        <v>850580</v>
      </c>
      <c r="C28" s="41">
        <f>SUM(C26:C27)</f>
        <v>900580</v>
      </c>
    </row>
    <row r="29" spans="1:10" x14ac:dyDescent="0.25">
      <c r="A29" s="172" t="s">
        <v>73</v>
      </c>
      <c r="B29" s="173"/>
    </row>
    <row r="30" spans="1:10" x14ac:dyDescent="0.25">
      <c r="A30" s="38" t="s">
        <v>70</v>
      </c>
      <c r="B30" s="39">
        <v>50000</v>
      </c>
    </row>
    <row r="31" spans="1:10" ht="15.75" thickBot="1" x14ac:dyDescent="0.3"/>
    <row r="32" spans="1:10" ht="15.75" thickBot="1" x14ac:dyDescent="0.3">
      <c r="A32" s="125" t="s">
        <v>16</v>
      </c>
    </row>
    <row r="33" spans="1:79" s="53" customFormat="1" x14ac:dyDescent="0.25">
      <c r="A33" s="124" t="s">
        <v>76</v>
      </c>
      <c r="B33" s="60">
        <v>44927</v>
      </c>
      <c r="C33" s="60">
        <v>45292</v>
      </c>
      <c r="D33" s="60">
        <v>45658</v>
      </c>
      <c r="E33" s="60">
        <v>46023</v>
      </c>
      <c r="F33" s="60">
        <v>46388</v>
      </c>
      <c r="G33" s="60">
        <v>46753</v>
      </c>
      <c r="H33" s="60">
        <v>47119</v>
      </c>
      <c r="I33" s="60">
        <v>47484</v>
      </c>
      <c r="J33" s="60">
        <v>47849</v>
      </c>
      <c r="K33" s="60">
        <v>48214</v>
      </c>
      <c r="L33" s="60">
        <v>48580</v>
      </c>
      <c r="M33" s="60">
        <v>48945</v>
      </c>
      <c r="N33" s="60">
        <v>49310</v>
      </c>
      <c r="O33" s="60">
        <v>49675</v>
      </c>
      <c r="P33" s="60">
        <v>50041</v>
      </c>
      <c r="Q33" s="60">
        <v>50406</v>
      </c>
      <c r="R33" s="60">
        <v>50771</v>
      </c>
      <c r="S33" s="60">
        <v>51136</v>
      </c>
      <c r="T33" s="60">
        <v>51502</v>
      </c>
      <c r="U33" s="60">
        <v>51867</v>
      </c>
      <c r="V33" s="60">
        <v>52232</v>
      </c>
      <c r="W33" s="60">
        <v>52597</v>
      </c>
      <c r="X33" s="60">
        <v>52963</v>
      </c>
      <c r="Y33" s="60">
        <v>53328</v>
      </c>
      <c r="Z33" s="60">
        <v>53693</v>
      </c>
      <c r="AA33" s="60">
        <v>54058</v>
      </c>
      <c r="AB33" s="60">
        <v>54424</v>
      </c>
      <c r="AC33" s="60">
        <v>54789</v>
      </c>
      <c r="AD33" s="60">
        <v>55154</v>
      </c>
      <c r="AE33" s="60">
        <v>55519</v>
      </c>
      <c r="AF33" s="60">
        <v>55885</v>
      </c>
      <c r="AG33" s="60">
        <v>56250</v>
      </c>
      <c r="AH33" s="60">
        <v>56615</v>
      </c>
      <c r="AI33" s="60">
        <v>56980</v>
      </c>
      <c r="AJ33" s="60">
        <v>57346</v>
      </c>
      <c r="AK33" s="60">
        <v>57711</v>
      </c>
      <c r="AL33" s="60">
        <v>58076</v>
      </c>
      <c r="AM33" s="60">
        <v>58441</v>
      </c>
      <c r="AN33" s="60">
        <v>58807</v>
      </c>
      <c r="AO33" s="60">
        <v>59172</v>
      </c>
      <c r="AP33" s="60">
        <v>59537</v>
      </c>
      <c r="AQ33" s="60">
        <v>59902</v>
      </c>
      <c r="AR33" s="60">
        <v>60268</v>
      </c>
      <c r="AS33" s="60">
        <v>60633</v>
      </c>
      <c r="AT33" s="60">
        <v>60998</v>
      </c>
      <c r="AU33" s="60">
        <v>61363</v>
      </c>
      <c r="AV33" s="60">
        <v>61729</v>
      </c>
      <c r="AW33" s="60">
        <v>62094</v>
      </c>
      <c r="AX33" s="60">
        <v>62459</v>
      </c>
      <c r="AY33" s="60">
        <v>62824</v>
      </c>
      <c r="AZ33" s="60">
        <v>63190</v>
      </c>
      <c r="BA33" s="60">
        <v>63555</v>
      </c>
      <c r="BB33" s="60">
        <v>63920</v>
      </c>
      <c r="BC33" s="60">
        <v>64285</v>
      </c>
      <c r="BD33" s="60">
        <v>64651</v>
      </c>
      <c r="BE33" s="60">
        <v>65016</v>
      </c>
      <c r="BF33" s="60">
        <v>65381</v>
      </c>
      <c r="BG33" s="60">
        <v>65746</v>
      </c>
      <c r="BH33" s="60">
        <v>66112</v>
      </c>
      <c r="BI33" s="60">
        <v>66477</v>
      </c>
      <c r="BJ33" s="60">
        <v>66842</v>
      </c>
      <c r="BK33" s="60">
        <v>67207</v>
      </c>
      <c r="BL33" s="60">
        <v>67573</v>
      </c>
      <c r="BM33" s="60">
        <v>67938</v>
      </c>
      <c r="BN33" s="60">
        <v>68303</v>
      </c>
      <c r="BO33" s="60">
        <v>68668</v>
      </c>
      <c r="BP33" s="60">
        <v>69034</v>
      </c>
      <c r="BQ33" s="60">
        <v>69399</v>
      </c>
      <c r="BR33" s="60">
        <v>69764</v>
      </c>
      <c r="BS33" s="60">
        <v>70129</v>
      </c>
      <c r="BT33" s="60">
        <v>70495</v>
      </c>
      <c r="BU33" s="60">
        <v>70860</v>
      </c>
      <c r="BV33" s="60">
        <v>71225</v>
      </c>
      <c r="BW33" s="60">
        <v>71590</v>
      </c>
      <c r="BX33" s="60">
        <v>71956</v>
      </c>
      <c r="BY33" s="60">
        <v>72321</v>
      </c>
      <c r="BZ33" s="60">
        <v>72686</v>
      </c>
      <c r="CA33" s="60">
        <v>73051</v>
      </c>
    </row>
    <row r="34" spans="1:79" x14ac:dyDescent="0.25">
      <c r="A34" s="126" t="s">
        <v>147</v>
      </c>
      <c r="B34" s="127">
        <v>1559</v>
      </c>
      <c r="C34" s="127">
        <v>1724</v>
      </c>
      <c r="D34" s="127">
        <v>1907</v>
      </c>
      <c r="E34" s="127">
        <v>2121</v>
      </c>
      <c r="F34" s="127">
        <v>2230</v>
      </c>
      <c r="G34" s="127">
        <v>2230</v>
      </c>
      <c r="H34" s="127">
        <v>2230</v>
      </c>
      <c r="I34" s="127">
        <v>2230</v>
      </c>
      <c r="J34" s="127">
        <v>2230</v>
      </c>
      <c r="K34" s="127">
        <v>2230</v>
      </c>
      <c r="L34" s="127">
        <v>2230</v>
      </c>
      <c r="M34" s="127">
        <v>2230</v>
      </c>
      <c r="N34" s="127">
        <v>2230</v>
      </c>
      <c r="O34" s="127">
        <v>2230</v>
      </c>
      <c r="P34" s="127">
        <v>2230</v>
      </c>
      <c r="Q34" s="127">
        <v>2230</v>
      </c>
      <c r="R34" s="127">
        <v>2230</v>
      </c>
      <c r="S34" s="127">
        <v>2230</v>
      </c>
      <c r="T34" s="127">
        <v>2230</v>
      </c>
      <c r="U34" s="127">
        <v>2230</v>
      </c>
      <c r="V34" s="127">
        <v>2230</v>
      </c>
      <c r="W34" s="127">
        <v>2230</v>
      </c>
      <c r="X34" s="127">
        <v>2230</v>
      </c>
      <c r="Y34" s="127">
        <v>2230</v>
      </c>
      <c r="Z34" s="127">
        <v>2230</v>
      </c>
      <c r="AA34" s="127">
        <v>2230</v>
      </c>
      <c r="AB34" s="127">
        <v>2230</v>
      </c>
      <c r="AC34" s="127">
        <v>2230</v>
      </c>
      <c r="AD34" s="127">
        <v>2230</v>
      </c>
      <c r="AE34" s="127">
        <v>2230</v>
      </c>
      <c r="AF34" s="127">
        <v>2230</v>
      </c>
      <c r="AG34" s="127">
        <v>2293</v>
      </c>
      <c r="AH34" s="127">
        <v>2385</v>
      </c>
      <c r="AI34" s="127">
        <v>2480</v>
      </c>
      <c r="AJ34" s="127">
        <v>2579</v>
      </c>
      <c r="AK34" s="127">
        <v>2682</v>
      </c>
      <c r="AL34" s="127">
        <v>2790</v>
      </c>
      <c r="AM34" s="127">
        <v>2901</v>
      </c>
      <c r="AN34" s="127">
        <v>3017</v>
      </c>
      <c r="AO34" s="127">
        <v>3138</v>
      </c>
      <c r="AP34" s="127">
        <v>3264</v>
      </c>
      <c r="AQ34" s="127">
        <v>3361</v>
      </c>
      <c r="AR34" s="127">
        <v>3462</v>
      </c>
      <c r="AS34" s="127">
        <v>3566</v>
      </c>
      <c r="AT34" s="127">
        <v>3673</v>
      </c>
      <c r="AU34" s="127">
        <v>3783</v>
      </c>
      <c r="AV34" s="127">
        <v>3897</v>
      </c>
      <c r="AW34" s="127">
        <v>4014</v>
      </c>
      <c r="AX34" s="127">
        <v>4134</v>
      </c>
      <c r="AY34" s="127">
        <v>4258</v>
      </c>
      <c r="AZ34" s="127">
        <v>4386</v>
      </c>
      <c r="BA34" s="127">
        <v>4518</v>
      </c>
      <c r="BB34" s="127">
        <v>4653</v>
      </c>
      <c r="BC34" s="127">
        <v>4793</v>
      </c>
      <c r="BD34" s="127">
        <v>4936</v>
      </c>
      <c r="BE34" s="127">
        <v>5084</v>
      </c>
      <c r="BF34" s="127">
        <v>5237</v>
      </c>
      <c r="BG34" s="127">
        <v>5394</v>
      </c>
      <c r="BH34" s="127">
        <v>5556</v>
      </c>
      <c r="BI34" s="127">
        <v>5723</v>
      </c>
      <c r="BJ34" s="127">
        <v>5894</v>
      </c>
      <c r="BK34" s="127">
        <v>6071</v>
      </c>
      <c r="BL34" s="127">
        <v>6253</v>
      </c>
      <c r="BM34" s="127">
        <v>6441</v>
      </c>
      <c r="BN34" s="127">
        <v>6634</v>
      </c>
      <c r="BO34" s="127">
        <v>6833</v>
      </c>
      <c r="BP34" s="127">
        <v>7038</v>
      </c>
      <c r="BQ34" s="127">
        <v>7249</v>
      </c>
      <c r="BR34" s="127">
        <v>7467</v>
      </c>
      <c r="BS34" s="127">
        <v>7691</v>
      </c>
      <c r="BT34" s="127">
        <v>7921</v>
      </c>
      <c r="BU34" s="127">
        <v>8080</v>
      </c>
      <c r="BV34" s="127">
        <v>8242</v>
      </c>
      <c r="BW34" s="127">
        <v>8406</v>
      </c>
      <c r="BX34" s="127">
        <v>8574</v>
      </c>
      <c r="BY34" s="127">
        <v>8746</v>
      </c>
      <c r="BZ34" s="127">
        <v>8921</v>
      </c>
      <c r="CA34" s="127">
        <v>9099</v>
      </c>
    </row>
    <row r="35" spans="1:79" x14ac:dyDescent="0.25">
      <c r="A35" s="126" t="s">
        <v>148</v>
      </c>
      <c r="B35" s="127">
        <f>+B34*1.05</f>
        <v>1636.95</v>
      </c>
      <c r="C35" s="127">
        <f t="shared" ref="C35:BN35" si="1">+C34*1.05</f>
        <v>1810.2</v>
      </c>
      <c r="D35" s="127">
        <f t="shared" si="1"/>
        <v>2002.3500000000001</v>
      </c>
      <c r="E35" s="127">
        <f t="shared" si="1"/>
        <v>2227.0500000000002</v>
      </c>
      <c r="F35" s="127">
        <f t="shared" si="1"/>
        <v>2341.5</v>
      </c>
      <c r="G35" s="127">
        <f t="shared" si="1"/>
        <v>2341.5</v>
      </c>
      <c r="H35" s="127">
        <f t="shared" si="1"/>
        <v>2341.5</v>
      </c>
      <c r="I35" s="127">
        <f t="shared" si="1"/>
        <v>2341.5</v>
      </c>
      <c r="J35" s="127">
        <f t="shared" si="1"/>
        <v>2341.5</v>
      </c>
      <c r="K35" s="127">
        <f t="shared" si="1"/>
        <v>2341.5</v>
      </c>
      <c r="L35" s="127">
        <f t="shared" si="1"/>
        <v>2341.5</v>
      </c>
      <c r="M35" s="127">
        <f t="shared" si="1"/>
        <v>2341.5</v>
      </c>
      <c r="N35" s="127">
        <f t="shared" si="1"/>
        <v>2341.5</v>
      </c>
      <c r="O35" s="127">
        <f t="shared" si="1"/>
        <v>2341.5</v>
      </c>
      <c r="P35" s="127">
        <f t="shared" si="1"/>
        <v>2341.5</v>
      </c>
      <c r="Q35" s="127">
        <f t="shared" si="1"/>
        <v>2341.5</v>
      </c>
      <c r="R35" s="127">
        <f t="shared" si="1"/>
        <v>2341.5</v>
      </c>
      <c r="S35" s="127">
        <f t="shared" si="1"/>
        <v>2341.5</v>
      </c>
      <c r="T35" s="127">
        <f t="shared" si="1"/>
        <v>2341.5</v>
      </c>
      <c r="U35" s="127">
        <f t="shared" si="1"/>
        <v>2341.5</v>
      </c>
      <c r="V35" s="127">
        <f t="shared" si="1"/>
        <v>2341.5</v>
      </c>
      <c r="W35" s="127">
        <f t="shared" si="1"/>
        <v>2341.5</v>
      </c>
      <c r="X35" s="127">
        <f t="shared" si="1"/>
        <v>2341.5</v>
      </c>
      <c r="Y35" s="127">
        <f t="shared" si="1"/>
        <v>2341.5</v>
      </c>
      <c r="Z35" s="127">
        <f t="shared" si="1"/>
        <v>2341.5</v>
      </c>
      <c r="AA35" s="127">
        <f t="shared" si="1"/>
        <v>2341.5</v>
      </c>
      <c r="AB35" s="127">
        <f t="shared" si="1"/>
        <v>2341.5</v>
      </c>
      <c r="AC35" s="127">
        <f t="shared" si="1"/>
        <v>2341.5</v>
      </c>
      <c r="AD35" s="127">
        <f t="shared" si="1"/>
        <v>2341.5</v>
      </c>
      <c r="AE35" s="127">
        <f t="shared" si="1"/>
        <v>2341.5</v>
      </c>
      <c r="AF35" s="127">
        <f t="shared" si="1"/>
        <v>2341.5</v>
      </c>
      <c r="AG35" s="127">
        <f t="shared" si="1"/>
        <v>2407.65</v>
      </c>
      <c r="AH35" s="127">
        <f t="shared" si="1"/>
        <v>2504.25</v>
      </c>
      <c r="AI35" s="127">
        <f t="shared" si="1"/>
        <v>2604</v>
      </c>
      <c r="AJ35" s="127">
        <f t="shared" si="1"/>
        <v>2707.9500000000003</v>
      </c>
      <c r="AK35" s="127">
        <f t="shared" si="1"/>
        <v>2816.1</v>
      </c>
      <c r="AL35" s="127">
        <f t="shared" si="1"/>
        <v>2929.5</v>
      </c>
      <c r="AM35" s="127">
        <f t="shared" si="1"/>
        <v>3046.05</v>
      </c>
      <c r="AN35" s="127">
        <f t="shared" si="1"/>
        <v>3167.85</v>
      </c>
      <c r="AO35" s="127">
        <f t="shared" si="1"/>
        <v>3294.9</v>
      </c>
      <c r="AP35" s="127">
        <f t="shared" si="1"/>
        <v>3427.2000000000003</v>
      </c>
      <c r="AQ35" s="127">
        <f t="shared" si="1"/>
        <v>3529.05</v>
      </c>
      <c r="AR35" s="127">
        <f t="shared" si="1"/>
        <v>3635.1000000000004</v>
      </c>
      <c r="AS35" s="127">
        <f t="shared" si="1"/>
        <v>3744.3</v>
      </c>
      <c r="AT35" s="127">
        <f t="shared" si="1"/>
        <v>3856.65</v>
      </c>
      <c r="AU35" s="127">
        <f t="shared" si="1"/>
        <v>3972.15</v>
      </c>
      <c r="AV35" s="127">
        <f t="shared" si="1"/>
        <v>4091.8500000000004</v>
      </c>
      <c r="AW35" s="127">
        <f t="shared" si="1"/>
        <v>4214.7</v>
      </c>
      <c r="AX35" s="127">
        <f t="shared" si="1"/>
        <v>4340.7</v>
      </c>
      <c r="AY35" s="127">
        <f t="shared" si="1"/>
        <v>4470.9000000000005</v>
      </c>
      <c r="AZ35" s="127">
        <f t="shared" si="1"/>
        <v>4605.3</v>
      </c>
      <c r="BA35" s="127">
        <f t="shared" si="1"/>
        <v>4743.9000000000005</v>
      </c>
      <c r="BB35" s="127">
        <f t="shared" si="1"/>
        <v>4885.6500000000005</v>
      </c>
      <c r="BC35" s="127">
        <f t="shared" si="1"/>
        <v>5032.6500000000005</v>
      </c>
      <c r="BD35" s="127">
        <f t="shared" si="1"/>
        <v>5182.8</v>
      </c>
      <c r="BE35" s="127">
        <f t="shared" si="1"/>
        <v>5338.2</v>
      </c>
      <c r="BF35" s="127">
        <f t="shared" si="1"/>
        <v>5498.85</v>
      </c>
      <c r="BG35" s="127">
        <f t="shared" si="1"/>
        <v>5663.7</v>
      </c>
      <c r="BH35" s="127">
        <f t="shared" si="1"/>
        <v>5833.8</v>
      </c>
      <c r="BI35" s="127">
        <f t="shared" si="1"/>
        <v>6009.1500000000005</v>
      </c>
      <c r="BJ35" s="127">
        <f t="shared" si="1"/>
        <v>6188.7</v>
      </c>
      <c r="BK35" s="127">
        <f t="shared" si="1"/>
        <v>6374.55</v>
      </c>
      <c r="BL35" s="127">
        <f t="shared" si="1"/>
        <v>6565.6500000000005</v>
      </c>
      <c r="BM35" s="127">
        <f t="shared" si="1"/>
        <v>6763.05</v>
      </c>
      <c r="BN35" s="127">
        <f t="shared" si="1"/>
        <v>6965.7000000000007</v>
      </c>
      <c r="BO35" s="127">
        <f t="shared" ref="BO35:CA35" si="2">+BO34*1.05</f>
        <v>7174.6500000000005</v>
      </c>
      <c r="BP35" s="127">
        <f t="shared" si="2"/>
        <v>7389.9000000000005</v>
      </c>
      <c r="BQ35" s="127">
        <f t="shared" si="2"/>
        <v>7611.4500000000007</v>
      </c>
      <c r="BR35" s="127">
        <f t="shared" si="2"/>
        <v>7840.35</v>
      </c>
      <c r="BS35" s="127">
        <f t="shared" si="2"/>
        <v>8075.55</v>
      </c>
      <c r="BT35" s="127">
        <f t="shared" si="2"/>
        <v>8317.0500000000011</v>
      </c>
      <c r="BU35" s="127">
        <f t="shared" si="2"/>
        <v>8484</v>
      </c>
      <c r="BV35" s="127">
        <f t="shared" si="2"/>
        <v>8654.1</v>
      </c>
      <c r="BW35" s="127">
        <f t="shared" si="2"/>
        <v>8826.3000000000011</v>
      </c>
      <c r="BX35" s="127">
        <f t="shared" si="2"/>
        <v>9002.7000000000007</v>
      </c>
      <c r="BY35" s="127">
        <f t="shared" si="2"/>
        <v>9183.3000000000011</v>
      </c>
      <c r="BZ35" s="127">
        <f t="shared" si="2"/>
        <v>9367.0500000000011</v>
      </c>
      <c r="CA35" s="127">
        <f t="shared" si="2"/>
        <v>9553.9500000000007</v>
      </c>
    </row>
    <row r="36" spans="1:79" x14ac:dyDescent="0.25">
      <c r="A36" s="126" t="s">
        <v>149</v>
      </c>
      <c r="B36" s="127">
        <f>+B34*1.075</f>
        <v>1675.925</v>
      </c>
      <c r="C36" s="127">
        <f t="shared" ref="C36:BN36" si="3">+C34*1.075</f>
        <v>1853.3</v>
      </c>
      <c r="D36" s="127">
        <f t="shared" si="3"/>
        <v>2050.0250000000001</v>
      </c>
      <c r="E36" s="127">
        <f t="shared" si="3"/>
        <v>2280.0749999999998</v>
      </c>
      <c r="F36" s="127">
        <f t="shared" si="3"/>
        <v>2397.25</v>
      </c>
      <c r="G36" s="127">
        <f t="shared" si="3"/>
        <v>2397.25</v>
      </c>
      <c r="H36" s="127">
        <f t="shared" si="3"/>
        <v>2397.25</v>
      </c>
      <c r="I36" s="127">
        <f t="shared" si="3"/>
        <v>2397.25</v>
      </c>
      <c r="J36" s="127">
        <f t="shared" si="3"/>
        <v>2397.25</v>
      </c>
      <c r="K36" s="127">
        <f t="shared" si="3"/>
        <v>2397.25</v>
      </c>
      <c r="L36" s="127">
        <f t="shared" si="3"/>
        <v>2397.25</v>
      </c>
      <c r="M36" s="127">
        <f t="shared" si="3"/>
        <v>2397.25</v>
      </c>
      <c r="N36" s="127">
        <f t="shared" si="3"/>
        <v>2397.25</v>
      </c>
      <c r="O36" s="127">
        <f t="shared" si="3"/>
        <v>2397.25</v>
      </c>
      <c r="P36" s="127">
        <f t="shared" si="3"/>
        <v>2397.25</v>
      </c>
      <c r="Q36" s="127">
        <f t="shared" si="3"/>
        <v>2397.25</v>
      </c>
      <c r="R36" s="127">
        <f t="shared" si="3"/>
        <v>2397.25</v>
      </c>
      <c r="S36" s="127">
        <f t="shared" si="3"/>
        <v>2397.25</v>
      </c>
      <c r="T36" s="127">
        <f t="shared" si="3"/>
        <v>2397.25</v>
      </c>
      <c r="U36" s="127">
        <f t="shared" si="3"/>
        <v>2397.25</v>
      </c>
      <c r="V36" s="127">
        <f t="shared" si="3"/>
        <v>2397.25</v>
      </c>
      <c r="W36" s="127">
        <f t="shared" si="3"/>
        <v>2397.25</v>
      </c>
      <c r="X36" s="127">
        <f t="shared" si="3"/>
        <v>2397.25</v>
      </c>
      <c r="Y36" s="127">
        <f t="shared" si="3"/>
        <v>2397.25</v>
      </c>
      <c r="Z36" s="127">
        <f t="shared" si="3"/>
        <v>2397.25</v>
      </c>
      <c r="AA36" s="127">
        <f t="shared" si="3"/>
        <v>2397.25</v>
      </c>
      <c r="AB36" s="127">
        <f t="shared" si="3"/>
        <v>2397.25</v>
      </c>
      <c r="AC36" s="127">
        <f t="shared" si="3"/>
        <v>2397.25</v>
      </c>
      <c r="AD36" s="127">
        <f t="shared" si="3"/>
        <v>2397.25</v>
      </c>
      <c r="AE36" s="127">
        <f t="shared" si="3"/>
        <v>2397.25</v>
      </c>
      <c r="AF36" s="127">
        <f t="shared" si="3"/>
        <v>2397.25</v>
      </c>
      <c r="AG36" s="127">
        <f t="shared" si="3"/>
        <v>2464.9749999999999</v>
      </c>
      <c r="AH36" s="127">
        <f t="shared" si="3"/>
        <v>2563.875</v>
      </c>
      <c r="AI36" s="127">
        <f t="shared" si="3"/>
        <v>2666</v>
      </c>
      <c r="AJ36" s="127">
        <f t="shared" si="3"/>
        <v>2772.4249999999997</v>
      </c>
      <c r="AK36" s="127">
        <f t="shared" si="3"/>
        <v>2883.15</v>
      </c>
      <c r="AL36" s="127">
        <f t="shared" si="3"/>
        <v>2999.25</v>
      </c>
      <c r="AM36" s="127">
        <f t="shared" si="3"/>
        <v>3118.5749999999998</v>
      </c>
      <c r="AN36" s="127">
        <f t="shared" si="3"/>
        <v>3243.2750000000001</v>
      </c>
      <c r="AO36" s="127">
        <f t="shared" si="3"/>
        <v>3373.35</v>
      </c>
      <c r="AP36" s="127">
        <f t="shared" si="3"/>
        <v>3508.7999999999997</v>
      </c>
      <c r="AQ36" s="127">
        <f t="shared" si="3"/>
        <v>3613.0749999999998</v>
      </c>
      <c r="AR36" s="127">
        <f t="shared" si="3"/>
        <v>3721.6499999999996</v>
      </c>
      <c r="AS36" s="127">
        <f t="shared" si="3"/>
        <v>3833.45</v>
      </c>
      <c r="AT36" s="127">
        <f t="shared" si="3"/>
        <v>3948.4749999999999</v>
      </c>
      <c r="AU36" s="127">
        <f t="shared" si="3"/>
        <v>4066.7249999999999</v>
      </c>
      <c r="AV36" s="127">
        <f t="shared" si="3"/>
        <v>4189.2749999999996</v>
      </c>
      <c r="AW36" s="127">
        <f t="shared" si="3"/>
        <v>4315.05</v>
      </c>
      <c r="AX36" s="127">
        <f t="shared" si="3"/>
        <v>4444.05</v>
      </c>
      <c r="AY36" s="127">
        <f t="shared" si="3"/>
        <v>4577.3499999999995</v>
      </c>
      <c r="AZ36" s="127">
        <f t="shared" si="3"/>
        <v>4714.95</v>
      </c>
      <c r="BA36" s="127">
        <f t="shared" si="3"/>
        <v>4856.8499999999995</v>
      </c>
      <c r="BB36" s="127">
        <f t="shared" si="3"/>
        <v>5001.9749999999995</v>
      </c>
      <c r="BC36" s="127">
        <f t="shared" si="3"/>
        <v>5152.4749999999995</v>
      </c>
      <c r="BD36" s="127">
        <f t="shared" si="3"/>
        <v>5306.2</v>
      </c>
      <c r="BE36" s="127">
        <f t="shared" si="3"/>
        <v>5465.3</v>
      </c>
      <c r="BF36" s="127">
        <f t="shared" si="3"/>
        <v>5629.7749999999996</v>
      </c>
      <c r="BG36" s="127">
        <f t="shared" si="3"/>
        <v>5798.55</v>
      </c>
      <c r="BH36" s="127">
        <f t="shared" si="3"/>
        <v>5972.7</v>
      </c>
      <c r="BI36" s="127">
        <f t="shared" si="3"/>
        <v>6152.2249999999995</v>
      </c>
      <c r="BJ36" s="127">
        <f t="shared" si="3"/>
        <v>6336.05</v>
      </c>
      <c r="BK36" s="127">
        <f t="shared" si="3"/>
        <v>6526.3249999999998</v>
      </c>
      <c r="BL36" s="127">
        <f t="shared" si="3"/>
        <v>6721.9749999999995</v>
      </c>
      <c r="BM36" s="127">
        <f t="shared" si="3"/>
        <v>6924.0749999999998</v>
      </c>
      <c r="BN36" s="127">
        <f t="shared" si="3"/>
        <v>7131.5499999999993</v>
      </c>
      <c r="BO36" s="127">
        <f t="shared" ref="BO36:CA36" si="4">+BO34*1.075</f>
        <v>7345.4749999999995</v>
      </c>
      <c r="BP36" s="127">
        <f t="shared" si="4"/>
        <v>7565.8499999999995</v>
      </c>
      <c r="BQ36" s="127">
        <f t="shared" si="4"/>
        <v>7792.6749999999993</v>
      </c>
      <c r="BR36" s="127">
        <f t="shared" si="4"/>
        <v>8027.0249999999996</v>
      </c>
      <c r="BS36" s="127">
        <f t="shared" si="4"/>
        <v>8267.8249999999989</v>
      </c>
      <c r="BT36" s="127">
        <f t="shared" si="4"/>
        <v>8515.0749999999989</v>
      </c>
      <c r="BU36" s="127">
        <f t="shared" si="4"/>
        <v>8686</v>
      </c>
      <c r="BV36" s="127">
        <f t="shared" si="4"/>
        <v>8860.15</v>
      </c>
      <c r="BW36" s="127">
        <f t="shared" si="4"/>
        <v>9036.4499999999989</v>
      </c>
      <c r="BX36" s="127">
        <f t="shared" si="4"/>
        <v>9217.0499999999993</v>
      </c>
      <c r="BY36" s="127">
        <f t="shared" si="4"/>
        <v>9401.9499999999989</v>
      </c>
      <c r="BZ36" s="127">
        <f t="shared" si="4"/>
        <v>9590.0749999999989</v>
      </c>
      <c r="CA36" s="127">
        <f t="shared" si="4"/>
        <v>9781.4249999999993</v>
      </c>
    </row>
    <row r="37" spans="1:79" x14ac:dyDescent="0.25">
      <c r="A37" s="126" t="s">
        <v>150</v>
      </c>
      <c r="B37" s="127">
        <f>+B34*1.1</f>
        <v>1714.9</v>
      </c>
      <c r="C37" s="127">
        <f t="shared" ref="C37:BN37" si="5">+C34*1.1</f>
        <v>1896.4</v>
      </c>
      <c r="D37" s="127">
        <f t="shared" si="5"/>
        <v>2097.7000000000003</v>
      </c>
      <c r="E37" s="127">
        <f t="shared" si="5"/>
        <v>2333.1000000000004</v>
      </c>
      <c r="F37" s="127">
        <f t="shared" si="5"/>
        <v>2453</v>
      </c>
      <c r="G37" s="127">
        <f t="shared" si="5"/>
        <v>2453</v>
      </c>
      <c r="H37" s="127">
        <f t="shared" si="5"/>
        <v>2453</v>
      </c>
      <c r="I37" s="127">
        <f t="shared" si="5"/>
        <v>2453</v>
      </c>
      <c r="J37" s="127">
        <f t="shared" si="5"/>
        <v>2453</v>
      </c>
      <c r="K37" s="127">
        <f t="shared" si="5"/>
        <v>2453</v>
      </c>
      <c r="L37" s="127">
        <f t="shared" si="5"/>
        <v>2453</v>
      </c>
      <c r="M37" s="127">
        <f t="shared" si="5"/>
        <v>2453</v>
      </c>
      <c r="N37" s="127">
        <f t="shared" si="5"/>
        <v>2453</v>
      </c>
      <c r="O37" s="127">
        <f t="shared" si="5"/>
        <v>2453</v>
      </c>
      <c r="P37" s="127">
        <f t="shared" si="5"/>
        <v>2453</v>
      </c>
      <c r="Q37" s="127">
        <f t="shared" si="5"/>
        <v>2453</v>
      </c>
      <c r="R37" s="127">
        <f t="shared" si="5"/>
        <v>2453</v>
      </c>
      <c r="S37" s="127">
        <f t="shared" si="5"/>
        <v>2453</v>
      </c>
      <c r="T37" s="127">
        <f t="shared" si="5"/>
        <v>2453</v>
      </c>
      <c r="U37" s="127">
        <f t="shared" si="5"/>
        <v>2453</v>
      </c>
      <c r="V37" s="127">
        <f t="shared" si="5"/>
        <v>2453</v>
      </c>
      <c r="W37" s="127">
        <f t="shared" si="5"/>
        <v>2453</v>
      </c>
      <c r="X37" s="127">
        <f t="shared" si="5"/>
        <v>2453</v>
      </c>
      <c r="Y37" s="127">
        <f t="shared" si="5"/>
        <v>2453</v>
      </c>
      <c r="Z37" s="127">
        <f t="shared" si="5"/>
        <v>2453</v>
      </c>
      <c r="AA37" s="127">
        <f t="shared" si="5"/>
        <v>2453</v>
      </c>
      <c r="AB37" s="127">
        <f t="shared" si="5"/>
        <v>2453</v>
      </c>
      <c r="AC37" s="127">
        <f t="shared" si="5"/>
        <v>2453</v>
      </c>
      <c r="AD37" s="127">
        <f t="shared" si="5"/>
        <v>2453</v>
      </c>
      <c r="AE37" s="127">
        <f t="shared" si="5"/>
        <v>2453</v>
      </c>
      <c r="AF37" s="127">
        <f t="shared" si="5"/>
        <v>2453</v>
      </c>
      <c r="AG37" s="127">
        <f t="shared" si="5"/>
        <v>2522.3000000000002</v>
      </c>
      <c r="AH37" s="127">
        <f t="shared" si="5"/>
        <v>2623.5</v>
      </c>
      <c r="AI37" s="127">
        <f t="shared" si="5"/>
        <v>2728</v>
      </c>
      <c r="AJ37" s="127">
        <f t="shared" si="5"/>
        <v>2836.9</v>
      </c>
      <c r="AK37" s="127">
        <f t="shared" si="5"/>
        <v>2950.2000000000003</v>
      </c>
      <c r="AL37" s="127">
        <f t="shared" si="5"/>
        <v>3069.0000000000005</v>
      </c>
      <c r="AM37" s="127">
        <f t="shared" si="5"/>
        <v>3191.1000000000004</v>
      </c>
      <c r="AN37" s="127">
        <f t="shared" si="5"/>
        <v>3318.7000000000003</v>
      </c>
      <c r="AO37" s="127">
        <f t="shared" si="5"/>
        <v>3451.8</v>
      </c>
      <c r="AP37" s="127">
        <f t="shared" si="5"/>
        <v>3590.4</v>
      </c>
      <c r="AQ37" s="127">
        <f t="shared" si="5"/>
        <v>3697.1000000000004</v>
      </c>
      <c r="AR37" s="127">
        <f t="shared" si="5"/>
        <v>3808.2000000000003</v>
      </c>
      <c r="AS37" s="127">
        <f t="shared" si="5"/>
        <v>3922.6000000000004</v>
      </c>
      <c r="AT37" s="127">
        <f t="shared" si="5"/>
        <v>4040.3</v>
      </c>
      <c r="AU37" s="127">
        <f t="shared" si="5"/>
        <v>4161.3</v>
      </c>
      <c r="AV37" s="127">
        <f t="shared" si="5"/>
        <v>4286.7000000000007</v>
      </c>
      <c r="AW37" s="127">
        <f t="shared" si="5"/>
        <v>4415.4000000000005</v>
      </c>
      <c r="AX37" s="127">
        <f t="shared" si="5"/>
        <v>4547.4000000000005</v>
      </c>
      <c r="AY37" s="127">
        <f t="shared" si="5"/>
        <v>4683.8</v>
      </c>
      <c r="AZ37" s="127">
        <f t="shared" si="5"/>
        <v>4824.6000000000004</v>
      </c>
      <c r="BA37" s="127">
        <f t="shared" si="5"/>
        <v>4969.8</v>
      </c>
      <c r="BB37" s="127">
        <f t="shared" si="5"/>
        <v>5118.3</v>
      </c>
      <c r="BC37" s="127">
        <f t="shared" si="5"/>
        <v>5272.3</v>
      </c>
      <c r="BD37" s="127">
        <f t="shared" si="5"/>
        <v>5429.6</v>
      </c>
      <c r="BE37" s="127">
        <f t="shared" si="5"/>
        <v>5592.4000000000005</v>
      </c>
      <c r="BF37" s="127">
        <f t="shared" si="5"/>
        <v>5760.7000000000007</v>
      </c>
      <c r="BG37" s="127">
        <f t="shared" si="5"/>
        <v>5933.4000000000005</v>
      </c>
      <c r="BH37" s="127">
        <f t="shared" si="5"/>
        <v>6111.6</v>
      </c>
      <c r="BI37" s="127">
        <f t="shared" si="5"/>
        <v>6295.3</v>
      </c>
      <c r="BJ37" s="127">
        <f t="shared" si="5"/>
        <v>6483.4000000000005</v>
      </c>
      <c r="BK37" s="127">
        <f t="shared" si="5"/>
        <v>6678.1</v>
      </c>
      <c r="BL37" s="127">
        <f t="shared" si="5"/>
        <v>6878.3</v>
      </c>
      <c r="BM37" s="127">
        <f t="shared" si="5"/>
        <v>7085.1</v>
      </c>
      <c r="BN37" s="127">
        <f t="shared" si="5"/>
        <v>7297.4000000000005</v>
      </c>
      <c r="BO37" s="127">
        <f t="shared" ref="BO37:CA37" si="6">+BO34*1.1</f>
        <v>7516.3</v>
      </c>
      <c r="BP37" s="127">
        <f t="shared" si="6"/>
        <v>7741.8</v>
      </c>
      <c r="BQ37" s="127">
        <f t="shared" si="6"/>
        <v>7973.9000000000005</v>
      </c>
      <c r="BR37" s="127">
        <f t="shared" si="6"/>
        <v>8213.7000000000007</v>
      </c>
      <c r="BS37" s="127">
        <f t="shared" si="6"/>
        <v>8460.1</v>
      </c>
      <c r="BT37" s="127">
        <f t="shared" si="6"/>
        <v>8713.1</v>
      </c>
      <c r="BU37" s="127">
        <f t="shared" si="6"/>
        <v>8888</v>
      </c>
      <c r="BV37" s="127">
        <f t="shared" si="6"/>
        <v>9066.2000000000007</v>
      </c>
      <c r="BW37" s="127">
        <f t="shared" si="6"/>
        <v>9246.6</v>
      </c>
      <c r="BX37" s="127">
        <f t="shared" si="6"/>
        <v>9431.4000000000015</v>
      </c>
      <c r="BY37" s="127">
        <f t="shared" si="6"/>
        <v>9620.6</v>
      </c>
      <c r="BZ37" s="127">
        <f t="shared" si="6"/>
        <v>9813.1</v>
      </c>
      <c r="CA37" s="127">
        <f t="shared" si="6"/>
        <v>10008.900000000001</v>
      </c>
    </row>
    <row r="38" spans="1:79" x14ac:dyDescent="0.25">
      <c r="A38" s="129"/>
      <c r="B38" s="130"/>
      <c r="C38" s="130"/>
      <c r="D38" s="130"/>
      <c r="E38" s="130"/>
      <c r="F38" s="130"/>
      <c r="G38" s="130"/>
      <c r="H38" s="130"/>
      <c r="I38" s="130"/>
      <c r="J38" s="130"/>
      <c r="K38" s="130"/>
      <c r="L38" s="130"/>
      <c r="M38" s="130"/>
      <c r="N38" s="130"/>
      <c r="O38" s="130"/>
      <c r="P38" s="130"/>
      <c r="Q38" s="130"/>
      <c r="R38" s="130"/>
      <c r="S38" s="130"/>
      <c r="T38" s="130"/>
      <c r="U38" s="130"/>
      <c r="V38" s="130"/>
      <c r="W38" s="130"/>
      <c r="X38" s="130"/>
      <c r="Y38" s="130"/>
      <c r="Z38" s="130"/>
      <c r="AA38" s="130"/>
      <c r="AB38" s="130"/>
      <c r="AC38" s="130"/>
      <c r="AD38" s="130"/>
      <c r="AE38" s="130"/>
      <c r="AF38" s="130"/>
      <c r="AG38" s="130"/>
      <c r="AH38" s="130"/>
      <c r="AI38" s="130"/>
      <c r="AJ38" s="130"/>
      <c r="AK38" s="130"/>
      <c r="AL38" s="130"/>
      <c r="AM38" s="130"/>
      <c r="AN38" s="130"/>
      <c r="AO38" s="130"/>
      <c r="AP38" s="130"/>
      <c r="AQ38" s="130"/>
      <c r="AR38" s="130"/>
      <c r="AS38" s="130"/>
      <c r="AT38" s="130"/>
      <c r="AU38" s="130"/>
      <c r="AV38" s="130"/>
      <c r="AW38" s="130"/>
      <c r="AX38" s="130"/>
      <c r="AY38" s="130"/>
      <c r="AZ38" s="130"/>
      <c r="BA38" s="130"/>
      <c r="BB38" s="130"/>
      <c r="BC38" s="130"/>
      <c r="BD38" s="130"/>
      <c r="BE38" s="130"/>
      <c r="BF38" s="130"/>
      <c r="BG38" s="130"/>
      <c r="BH38" s="130"/>
      <c r="BI38" s="130"/>
      <c r="BJ38" s="130"/>
      <c r="BK38" s="130"/>
      <c r="BL38" s="130"/>
      <c r="BM38" s="130"/>
      <c r="BN38" s="130"/>
      <c r="BO38" s="130"/>
      <c r="BP38" s="130"/>
      <c r="BQ38" s="130"/>
      <c r="BR38" s="130"/>
      <c r="BS38" s="130"/>
      <c r="BT38" s="130"/>
      <c r="BU38" s="130"/>
      <c r="BV38" s="130"/>
      <c r="BW38" s="130"/>
      <c r="BX38" s="130"/>
      <c r="BY38" s="130"/>
      <c r="BZ38" s="130"/>
      <c r="CA38" s="130"/>
    </row>
    <row r="39" spans="1:79" x14ac:dyDescent="0.25">
      <c r="B39" s="131" t="s">
        <v>151</v>
      </c>
    </row>
    <row r="40" spans="1:79" x14ac:dyDescent="0.25">
      <c r="A40" s="64" t="s">
        <v>152</v>
      </c>
      <c r="B40" s="39">
        <f>-NPV($B$23,$I40:$V40)</f>
        <v>-21213850062.612831</v>
      </c>
      <c r="C40" s="174"/>
      <c r="D40" s="175"/>
      <c r="E40" s="175"/>
      <c r="F40" s="175"/>
      <c r="G40" s="175"/>
      <c r="H40" s="176"/>
      <c r="I40" s="39">
        <f>+$C$28*I34</f>
        <v>2008293400</v>
      </c>
      <c r="J40" s="39">
        <f t="shared" ref="J40:V40" si="7">+$C$28*J34</f>
        <v>2008293400</v>
      </c>
      <c r="K40" s="39">
        <f t="shared" si="7"/>
        <v>2008293400</v>
      </c>
      <c r="L40" s="39">
        <f t="shared" si="7"/>
        <v>2008293400</v>
      </c>
      <c r="M40" s="39">
        <f t="shared" si="7"/>
        <v>2008293400</v>
      </c>
      <c r="N40" s="39">
        <f t="shared" si="7"/>
        <v>2008293400</v>
      </c>
      <c r="O40" s="39">
        <f t="shared" si="7"/>
        <v>2008293400</v>
      </c>
      <c r="P40" s="39">
        <f t="shared" si="7"/>
        <v>2008293400</v>
      </c>
      <c r="Q40" s="39">
        <f t="shared" si="7"/>
        <v>2008293400</v>
      </c>
      <c r="R40" s="39">
        <f t="shared" si="7"/>
        <v>2008293400</v>
      </c>
      <c r="S40" s="39">
        <f t="shared" si="7"/>
        <v>2008293400</v>
      </c>
      <c r="T40" s="39">
        <f t="shared" si="7"/>
        <v>2008293400</v>
      </c>
      <c r="U40" s="39">
        <f t="shared" si="7"/>
        <v>2008293400</v>
      </c>
      <c r="V40" s="39">
        <f t="shared" si="7"/>
        <v>2008293400</v>
      </c>
      <c r="W40" s="37"/>
    </row>
    <row r="41" spans="1:79" x14ac:dyDescent="0.25">
      <c r="A41" s="64" t="s">
        <v>148</v>
      </c>
      <c r="B41" s="39">
        <f>-NPV($B$23,$I41:$V41)</f>
        <v>-22274542565.743473</v>
      </c>
      <c r="C41" s="177"/>
      <c r="D41" s="178"/>
      <c r="E41" s="178"/>
      <c r="F41" s="178"/>
      <c r="G41" s="178"/>
      <c r="H41" s="179"/>
      <c r="I41" s="39">
        <f>+$C$28*I35</f>
        <v>2108708070</v>
      </c>
      <c r="J41" s="39">
        <f t="shared" ref="J41:V43" si="8">+$C$28*P35</f>
        <v>2108708070</v>
      </c>
      <c r="K41" s="39">
        <f t="shared" si="8"/>
        <v>2108708070</v>
      </c>
      <c r="L41" s="39">
        <f t="shared" si="8"/>
        <v>2108708070</v>
      </c>
      <c r="M41" s="39">
        <f t="shared" si="8"/>
        <v>2108708070</v>
      </c>
      <c r="N41" s="39">
        <f t="shared" si="8"/>
        <v>2108708070</v>
      </c>
      <c r="O41" s="39">
        <f t="shared" si="8"/>
        <v>2108708070</v>
      </c>
      <c r="P41" s="39">
        <f t="shared" si="8"/>
        <v>2108708070</v>
      </c>
      <c r="Q41" s="39">
        <f t="shared" si="8"/>
        <v>2108708070</v>
      </c>
      <c r="R41" s="39">
        <f t="shared" si="8"/>
        <v>2108708070</v>
      </c>
      <c r="S41" s="39">
        <f t="shared" si="8"/>
        <v>2108708070</v>
      </c>
      <c r="T41" s="39">
        <f t="shared" si="8"/>
        <v>2108708070</v>
      </c>
      <c r="U41" s="39">
        <f t="shared" si="8"/>
        <v>2108708070</v>
      </c>
      <c r="V41" s="39">
        <f t="shared" si="8"/>
        <v>2108708070</v>
      </c>
      <c r="W41" s="37"/>
    </row>
    <row r="42" spans="1:79" x14ac:dyDescent="0.25">
      <c r="A42" s="64" t="s">
        <v>149</v>
      </c>
      <c r="B42" s="39">
        <f>-NPV($B$23,$I42:$V42)</f>
        <v>-22804888817.308788</v>
      </c>
      <c r="C42" s="177"/>
      <c r="D42" s="178"/>
      <c r="E42" s="178"/>
      <c r="F42" s="178"/>
      <c r="G42" s="178"/>
      <c r="H42" s="179"/>
      <c r="I42" s="39">
        <f>+$C$28*I36</f>
        <v>2158915405</v>
      </c>
      <c r="J42" s="39">
        <f t="shared" si="8"/>
        <v>2158915405</v>
      </c>
      <c r="K42" s="39">
        <f t="shared" si="8"/>
        <v>2158915405</v>
      </c>
      <c r="L42" s="39">
        <f t="shared" si="8"/>
        <v>2158915405</v>
      </c>
      <c r="M42" s="39">
        <f t="shared" si="8"/>
        <v>2158915405</v>
      </c>
      <c r="N42" s="39">
        <f t="shared" si="8"/>
        <v>2158915405</v>
      </c>
      <c r="O42" s="39">
        <f t="shared" si="8"/>
        <v>2158915405</v>
      </c>
      <c r="P42" s="39">
        <f t="shared" si="8"/>
        <v>2158915405</v>
      </c>
      <c r="Q42" s="39">
        <f t="shared" si="8"/>
        <v>2158915405</v>
      </c>
      <c r="R42" s="39">
        <f t="shared" si="8"/>
        <v>2158915405</v>
      </c>
      <c r="S42" s="39">
        <f t="shared" si="8"/>
        <v>2158915405</v>
      </c>
      <c r="T42" s="39">
        <f t="shared" si="8"/>
        <v>2158915405</v>
      </c>
      <c r="U42" s="39">
        <f t="shared" si="8"/>
        <v>2158915405</v>
      </c>
      <c r="V42" s="39">
        <f t="shared" si="8"/>
        <v>2158915405</v>
      </c>
      <c r="W42" s="37"/>
    </row>
    <row r="43" spans="1:79" x14ac:dyDescent="0.25">
      <c r="A43" s="64" t="s">
        <v>150</v>
      </c>
      <c r="B43" s="39">
        <f>-NPV($B$23,$I43:$V43)</f>
        <v>-23335235068.874107</v>
      </c>
      <c r="C43" s="180"/>
      <c r="D43" s="181"/>
      <c r="E43" s="181"/>
      <c r="F43" s="181"/>
      <c r="G43" s="181"/>
      <c r="H43" s="182"/>
      <c r="I43" s="39">
        <f>+$C$28*I37</f>
        <v>2209122740</v>
      </c>
      <c r="J43" s="39">
        <f t="shared" si="8"/>
        <v>2209122740</v>
      </c>
      <c r="K43" s="39">
        <f t="shared" si="8"/>
        <v>2209122740</v>
      </c>
      <c r="L43" s="39">
        <f t="shared" si="8"/>
        <v>2209122740</v>
      </c>
      <c r="M43" s="39">
        <f t="shared" si="8"/>
        <v>2209122740</v>
      </c>
      <c r="N43" s="39">
        <f t="shared" si="8"/>
        <v>2209122740</v>
      </c>
      <c r="O43" s="39">
        <f t="shared" si="8"/>
        <v>2209122740</v>
      </c>
      <c r="P43" s="39">
        <f t="shared" si="8"/>
        <v>2209122740</v>
      </c>
      <c r="Q43" s="39">
        <f t="shared" si="8"/>
        <v>2209122740</v>
      </c>
      <c r="R43" s="39">
        <f t="shared" si="8"/>
        <v>2209122740</v>
      </c>
      <c r="S43" s="39">
        <f t="shared" si="8"/>
        <v>2209122740</v>
      </c>
      <c r="T43" s="39">
        <f t="shared" si="8"/>
        <v>2209122740</v>
      </c>
      <c r="U43" s="39">
        <f t="shared" si="8"/>
        <v>2209122740</v>
      </c>
      <c r="V43" s="39">
        <f t="shared" si="8"/>
        <v>2209122740</v>
      </c>
      <c r="W43" s="37"/>
    </row>
    <row r="44" spans="1:79" x14ac:dyDescent="0.25">
      <c r="B44" s="132"/>
    </row>
    <row r="45" spans="1:79" x14ac:dyDescent="0.25">
      <c r="A45" s="64" t="s">
        <v>153</v>
      </c>
      <c r="B45" s="39">
        <f>-NPV($B$23,$I45:$V45)</f>
        <v>-1177788206.6342149</v>
      </c>
      <c r="C45" s="183"/>
      <c r="D45" s="184"/>
      <c r="E45" s="184"/>
      <c r="F45" s="184"/>
      <c r="G45" s="184"/>
      <c r="H45" s="185"/>
      <c r="I45" s="39">
        <f>+$B$30*I34</f>
        <v>111500000</v>
      </c>
      <c r="J45" s="39">
        <f t="shared" ref="J45:V45" si="9">+$B$30*J34</f>
        <v>111500000</v>
      </c>
      <c r="K45" s="39">
        <f t="shared" si="9"/>
        <v>111500000</v>
      </c>
      <c r="L45" s="39">
        <f t="shared" si="9"/>
        <v>111500000</v>
      </c>
      <c r="M45" s="39">
        <f t="shared" si="9"/>
        <v>111500000</v>
      </c>
      <c r="N45" s="39">
        <f t="shared" si="9"/>
        <v>111500000</v>
      </c>
      <c r="O45" s="39">
        <f t="shared" si="9"/>
        <v>111500000</v>
      </c>
      <c r="P45" s="39">
        <f t="shared" si="9"/>
        <v>111500000</v>
      </c>
      <c r="Q45" s="39">
        <f t="shared" si="9"/>
        <v>111500000</v>
      </c>
      <c r="R45" s="39">
        <f t="shared" si="9"/>
        <v>111500000</v>
      </c>
      <c r="S45" s="39">
        <f t="shared" si="9"/>
        <v>111500000</v>
      </c>
      <c r="T45" s="39">
        <f t="shared" si="9"/>
        <v>111500000</v>
      </c>
      <c r="U45" s="39">
        <f t="shared" si="9"/>
        <v>111500000</v>
      </c>
      <c r="V45" s="39">
        <f t="shared" si="9"/>
        <v>111500000</v>
      </c>
    </row>
    <row r="46" spans="1:79" x14ac:dyDescent="0.25">
      <c r="A46" s="64" t="s">
        <v>154</v>
      </c>
      <c r="B46" s="39">
        <f>NPV($B$23,$I46:$V46)</f>
        <v>20036061855.978615</v>
      </c>
      <c r="C46" s="186"/>
      <c r="D46" s="187"/>
      <c r="E46" s="187"/>
      <c r="F46" s="187"/>
      <c r="G46" s="187"/>
      <c r="H46" s="188"/>
      <c r="I46" s="39">
        <f>$B$28*I34</f>
        <v>1896793400</v>
      </c>
      <c r="J46" s="39">
        <f t="shared" ref="J46:V46" si="10">$B$28*J34</f>
        <v>1896793400</v>
      </c>
      <c r="K46" s="39">
        <f t="shared" si="10"/>
        <v>1896793400</v>
      </c>
      <c r="L46" s="39">
        <f t="shared" si="10"/>
        <v>1896793400</v>
      </c>
      <c r="M46" s="39">
        <f t="shared" si="10"/>
        <v>1896793400</v>
      </c>
      <c r="N46" s="39">
        <f t="shared" si="10"/>
        <v>1896793400</v>
      </c>
      <c r="O46" s="39">
        <f t="shared" si="10"/>
        <v>1896793400</v>
      </c>
      <c r="P46" s="39">
        <f t="shared" si="10"/>
        <v>1896793400</v>
      </c>
      <c r="Q46" s="39">
        <f t="shared" si="10"/>
        <v>1896793400</v>
      </c>
      <c r="R46" s="39">
        <f t="shared" si="10"/>
        <v>1896793400</v>
      </c>
      <c r="S46" s="39">
        <f t="shared" si="10"/>
        <v>1896793400</v>
      </c>
      <c r="T46" s="39">
        <f t="shared" si="10"/>
        <v>1896793400</v>
      </c>
      <c r="U46" s="39">
        <f t="shared" si="10"/>
        <v>1896793400</v>
      </c>
      <c r="V46" s="39">
        <f t="shared" si="10"/>
        <v>1896793400</v>
      </c>
    </row>
    <row r="47" spans="1:79" x14ac:dyDescent="0.25">
      <c r="B47" s="132"/>
      <c r="I47" s="34"/>
      <c r="J47" s="34"/>
      <c r="K47" s="34"/>
      <c r="L47" s="34"/>
      <c r="M47" s="34"/>
      <c r="N47" s="34"/>
      <c r="O47" s="34"/>
      <c r="P47" s="34"/>
      <c r="Q47" s="34"/>
      <c r="R47" s="34"/>
      <c r="S47" s="34"/>
      <c r="T47" s="34"/>
      <c r="U47" s="34"/>
      <c r="V47" s="34"/>
    </row>
    <row r="48" spans="1:79" x14ac:dyDescent="0.25">
      <c r="A48" s="134" t="s">
        <v>155</v>
      </c>
      <c r="B48" s="133">
        <f>-NPV($B$23,$I48:$V48)</f>
        <v>-1236677616.9659259</v>
      </c>
      <c r="C48" s="189"/>
      <c r="D48" s="190"/>
      <c r="E48" s="190"/>
      <c r="F48" s="190"/>
      <c r="G48" s="190"/>
      <c r="H48" s="191"/>
      <c r="I48" s="133">
        <f>+$B$30*I35</f>
        <v>117075000</v>
      </c>
      <c r="J48" s="133">
        <f t="shared" ref="J48:V48" si="11">+$B$30*J35</f>
        <v>117075000</v>
      </c>
      <c r="K48" s="133">
        <f t="shared" si="11"/>
        <v>117075000</v>
      </c>
      <c r="L48" s="133">
        <f t="shared" si="11"/>
        <v>117075000</v>
      </c>
      <c r="M48" s="133">
        <f t="shared" si="11"/>
        <v>117075000</v>
      </c>
      <c r="N48" s="133">
        <f t="shared" si="11"/>
        <v>117075000</v>
      </c>
      <c r="O48" s="133">
        <f t="shared" si="11"/>
        <v>117075000</v>
      </c>
      <c r="P48" s="133">
        <f t="shared" si="11"/>
        <v>117075000</v>
      </c>
      <c r="Q48" s="133">
        <f t="shared" si="11"/>
        <v>117075000</v>
      </c>
      <c r="R48" s="133">
        <f t="shared" si="11"/>
        <v>117075000</v>
      </c>
      <c r="S48" s="133">
        <f t="shared" si="11"/>
        <v>117075000</v>
      </c>
      <c r="T48" s="133">
        <f t="shared" si="11"/>
        <v>117075000</v>
      </c>
      <c r="U48" s="133">
        <f t="shared" si="11"/>
        <v>117075000</v>
      </c>
      <c r="V48" s="133">
        <f t="shared" si="11"/>
        <v>117075000</v>
      </c>
    </row>
    <row r="49" spans="1:22" x14ac:dyDescent="0.25">
      <c r="A49" s="134" t="s">
        <v>156</v>
      </c>
      <c r="B49" s="133">
        <f t="shared" ref="B49:B55" si="12">+NPV($B$23,$I49:$V49)</f>
        <v>21037864948.777542</v>
      </c>
      <c r="C49" s="192"/>
      <c r="D49" s="193"/>
      <c r="E49" s="193"/>
      <c r="F49" s="193"/>
      <c r="G49" s="193"/>
      <c r="H49" s="194"/>
      <c r="I49" s="133">
        <f>+$B$28*I35</f>
        <v>1991633070</v>
      </c>
      <c r="J49" s="133">
        <f t="shared" ref="J49:V49" si="13">+$B$28*J35</f>
        <v>1991633070</v>
      </c>
      <c r="K49" s="133">
        <f t="shared" si="13"/>
        <v>1991633070</v>
      </c>
      <c r="L49" s="133">
        <f t="shared" si="13"/>
        <v>1991633070</v>
      </c>
      <c r="M49" s="133">
        <f t="shared" si="13"/>
        <v>1991633070</v>
      </c>
      <c r="N49" s="133">
        <f t="shared" si="13"/>
        <v>1991633070</v>
      </c>
      <c r="O49" s="133">
        <f t="shared" si="13"/>
        <v>1991633070</v>
      </c>
      <c r="P49" s="133">
        <f t="shared" si="13"/>
        <v>1991633070</v>
      </c>
      <c r="Q49" s="133">
        <f t="shared" si="13"/>
        <v>1991633070</v>
      </c>
      <c r="R49" s="133">
        <f t="shared" si="13"/>
        <v>1991633070</v>
      </c>
      <c r="S49" s="133">
        <f t="shared" si="13"/>
        <v>1991633070</v>
      </c>
      <c r="T49" s="133">
        <f t="shared" si="13"/>
        <v>1991633070</v>
      </c>
      <c r="U49" s="133">
        <f t="shared" si="13"/>
        <v>1991633070</v>
      </c>
      <c r="V49" s="133">
        <f t="shared" si="13"/>
        <v>1991633070</v>
      </c>
    </row>
    <row r="50" spans="1:22" x14ac:dyDescent="0.25">
      <c r="B50" s="132"/>
      <c r="I50" s="37"/>
      <c r="J50" s="37"/>
      <c r="K50" s="37"/>
      <c r="L50" s="37"/>
      <c r="M50" s="37"/>
      <c r="N50" s="37"/>
      <c r="O50" s="37"/>
      <c r="P50" s="37"/>
      <c r="Q50" s="37"/>
      <c r="R50" s="37"/>
      <c r="S50" s="37"/>
      <c r="T50" s="37"/>
      <c r="U50" s="37"/>
      <c r="V50" s="37"/>
    </row>
    <row r="51" spans="1:22" x14ac:dyDescent="0.25">
      <c r="A51" s="136" t="s">
        <v>157</v>
      </c>
      <c r="B51" s="135">
        <f>-NPV($B$23,$I51:$V51)</f>
        <v>-1266122322.1317813</v>
      </c>
      <c r="C51" s="195"/>
      <c r="D51" s="196"/>
      <c r="E51" s="196"/>
      <c r="F51" s="196"/>
      <c r="G51" s="196"/>
      <c r="H51" s="197"/>
      <c r="I51" s="135">
        <f>+$B$30*I36</f>
        <v>119862500</v>
      </c>
      <c r="J51" s="135">
        <f t="shared" ref="J51:V51" si="14">+$B$30*J36</f>
        <v>119862500</v>
      </c>
      <c r="K51" s="135">
        <f t="shared" si="14"/>
        <v>119862500</v>
      </c>
      <c r="L51" s="135">
        <f t="shared" si="14"/>
        <v>119862500</v>
      </c>
      <c r="M51" s="135">
        <f t="shared" si="14"/>
        <v>119862500</v>
      </c>
      <c r="N51" s="135">
        <f t="shared" si="14"/>
        <v>119862500</v>
      </c>
      <c r="O51" s="135">
        <f t="shared" si="14"/>
        <v>119862500</v>
      </c>
      <c r="P51" s="135">
        <f t="shared" si="14"/>
        <v>119862500</v>
      </c>
      <c r="Q51" s="135">
        <f t="shared" si="14"/>
        <v>119862500</v>
      </c>
      <c r="R51" s="135">
        <f t="shared" si="14"/>
        <v>119862500</v>
      </c>
      <c r="S51" s="135">
        <f t="shared" si="14"/>
        <v>119862500</v>
      </c>
      <c r="T51" s="135">
        <f t="shared" si="14"/>
        <v>119862500</v>
      </c>
      <c r="U51" s="135">
        <f t="shared" si="14"/>
        <v>119862500</v>
      </c>
      <c r="V51" s="135">
        <f t="shared" si="14"/>
        <v>119862500</v>
      </c>
    </row>
    <row r="52" spans="1:22" x14ac:dyDescent="0.25">
      <c r="A52" s="136" t="s">
        <v>158</v>
      </c>
      <c r="B52" s="135">
        <f t="shared" si="12"/>
        <v>21538766495.17701</v>
      </c>
      <c r="C52" s="198"/>
      <c r="D52" s="199"/>
      <c r="E52" s="199"/>
      <c r="F52" s="199"/>
      <c r="G52" s="199"/>
      <c r="H52" s="200"/>
      <c r="I52" s="135">
        <f>+$B$28*I36</f>
        <v>2039052905</v>
      </c>
      <c r="J52" s="135">
        <f t="shared" ref="J52:V52" si="15">+$B$28*J36</f>
        <v>2039052905</v>
      </c>
      <c r="K52" s="135">
        <f t="shared" si="15"/>
        <v>2039052905</v>
      </c>
      <c r="L52" s="135">
        <f t="shared" si="15"/>
        <v>2039052905</v>
      </c>
      <c r="M52" s="135">
        <f t="shared" si="15"/>
        <v>2039052905</v>
      </c>
      <c r="N52" s="135">
        <f t="shared" si="15"/>
        <v>2039052905</v>
      </c>
      <c r="O52" s="135">
        <f t="shared" si="15"/>
        <v>2039052905</v>
      </c>
      <c r="P52" s="135">
        <f t="shared" si="15"/>
        <v>2039052905</v>
      </c>
      <c r="Q52" s="135">
        <f t="shared" si="15"/>
        <v>2039052905</v>
      </c>
      <c r="R52" s="135">
        <f t="shared" si="15"/>
        <v>2039052905</v>
      </c>
      <c r="S52" s="135">
        <f t="shared" si="15"/>
        <v>2039052905</v>
      </c>
      <c r="T52" s="135">
        <f t="shared" si="15"/>
        <v>2039052905</v>
      </c>
      <c r="U52" s="135">
        <f t="shared" si="15"/>
        <v>2039052905</v>
      </c>
      <c r="V52" s="135">
        <f t="shared" si="15"/>
        <v>2039052905</v>
      </c>
    </row>
    <row r="53" spans="1:22" x14ac:dyDescent="0.25">
      <c r="B53" s="132"/>
      <c r="I53" s="37"/>
      <c r="J53" s="37"/>
      <c r="K53" s="37"/>
      <c r="L53" s="37"/>
      <c r="M53" s="37"/>
      <c r="N53" s="37"/>
      <c r="O53" s="37"/>
      <c r="P53" s="37"/>
      <c r="Q53" s="37"/>
      <c r="R53" s="37"/>
      <c r="S53" s="37"/>
      <c r="T53" s="37"/>
      <c r="U53" s="37"/>
      <c r="V53" s="37"/>
    </row>
    <row r="54" spans="1:22" x14ac:dyDescent="0.25">
      <c r="A54" s="138" t="s">
        <v>159</v>
      </c>
      <c r="B54" s="137">
        <f>-NPV($B$23,$I54:$V54)</f>
        <v>-1295567027.2976365</v>
      </c>
      <c r="C54" s="201"/>
      <c r="D54" s="202"/>
      <c r="E54" s="202"/>
      <c r="F54" s="202"/>
      <c r="G54" s="202"/>
      <c r="H54" s="203"/>
      <c r="I54" s="137">
        <f>+$B$30*I37</f>
        <v>122650000</v>
      </c>
      <c r="J54" s="137">
        <f t="shared" ref="J54:V54" si="16">+$B$30*J37</f>
        <v>122650000</v>
      </c>
      <c r="K54" s="137">
        <f t="shared" si="16"/>
        <v>122650000</v>
      </c>
      <c r="L54" s="137">
        <f t="shared" si="16"/>
        <v>122650000</v>
      </c>
      <c r="M54" s="137">
        <f t="shared" si="16"/>
        <v>122650000</v>
      </c>
      <c r="N54" s="137">
        <f t="shared" si="16"/>
        <v>122650000</v>
      </c>
      <c r="O54" s="137">
        <f t="shared" si="16"/>
        <v>122650000</v>
      </c>
      <c r="P54" s="137">
        <f t="shared" si="16"/>
        <v>122650000</v>
      </c>
      <c r="Q54" s="137">
        <f t="shared" si="16"/>
        <v>122650000</v>
      </c>
      <c r="R54" s="137">
        <f t="shared" si="16"/>
        <v>122650000</v>
      </c>
      <c r="S54" s="137">
        <f t="shared" si="16"/>
        <v>122650000</v>
      </c>
      <c r="T54" s="137">
        <f t="shared" si="16"/>
        <v>122650000</v>
      </c>
      <c r="U54" s="137">
        <f t="shared" si="16"/>
        <v>122650000</v>
      </c>
      <c r="V54" s="137">
        <f t="shared" si="16"/>
        <v>122650000</v>
      </c>
    </row>
    <row r="55" spans="1:22" x14ac:dyDescent="0.25">
      <c r="A55" s="138" t="s">
        <v>160</v>
      </c>
      <c r="B55" s="137">
        <f t="shared" si="12"/>
        <v>22039668041.576473</v>
      </c>
      <c r="C55" s="204"/>
      <c r="D55" s="205"/>
      <c r="E55" s="205"/>
      <c r="F55" s="205"/>
      <c r="G55" s="205"/>
      <c r="H55" s="206"/>
      <c r="I55" s="137">
        <f>+$B$28*I37</f>
        <v>2086472740</v>
      </c>
      <c r="J55" s="137">
        <f t="shared" ref="J55:V55" si="17">+$B$28*J37</f>
        <v>2086472740</v>
      </c>
      <c r="K55" s="137">
        <f t="shared" si="17"/>
        <v>2086472740</v>
      </c>
      <c r="L55" s="137">
        <f t="shared" si="17"/>
        <v>2086472740</v>
      </c>
      <c r="M55" s="137">
        <f t="shared" si="17"/>
        <v>2086472740</v>
      </c>
      <c r="N55" s="137">
        <f t="shared" si="17"/>
        <v>2086472740</v>
      </c>
      <c r="O55" s="137">
        <f t="shared" si="17"/>
        <v>2086472740</v>
      </c>
      <c r="P55" s="137">
        <f t="shared" si="17"/>
        <v>2086472740</v>
      </c>
      <c r="Q55" s="137">
        <f t="shared" si="17"/>
        <v>2086472740</v>
      </c>
      <c r="R55" s="137">
        <f t="shared" si="17"/>
        <v>2086472740</v>
      </c>
      <c r="S55" s="137">
        <f t="shared" si="17"/>
        <v>2086472740</v>
      </c>
      <c r="T55" s="137">
        <f t="shared" si="17"/>
        <v>2086472740</v>
      </c>
      <c r="U55" s="137">
        <f t="shared" si="17"/>
        <v>2086472740</v>
      </c>
      <c r="V55" s="137">
        <f t="shared" si="17"/>
        <v>2086472740</v>
      </c>
    </row>
    <row r="56" spans="1:22" ht="15.75" thickBot="1" x14ac:dyDescent="0.3"/>
    <row r="57" spans="1:22" ht="15.75" thickBot="1" x14ac:dyDescent="0.3">
      <c r="B57" s="122" t="s">
        <v>32</v>
      </c>
    </row>
    <row r="59" spans="1:22" x14ac:dyDescent="0.25">
      <c r="B59" s="24"/>
      <c r="C59" s="24"/>
      <c r="D59" s="24"/>
    </row>
    <row r="60" spans="1:22" x14ac:dyDescent="0.25">
      <c r="B60" s="24"/>
      <c r="C60" s="24"/>
      <c r="D60" s="24"/>
    </row>
    <row r="61" spans="1:22" x14ac:dyDescent="0.25">
      <c r="B61" s="24"/>
      <c r="C61" s="24"/>
      <c r="D61" s="24"/>
    </row>
    <row r="62" spans="1:22" x14ac:dyDescent="0.25">
      <c r="B62" s="24"/>
      <c r="C62" s="24"/>
      <c r="D62" s="24"/>
    </row>
    <row r="64" spans="1:22" x14ac:dyDescent="0.25">
      <c r="B64" s="24"/>
      <c r="C64" s="24"/>
      <c r="D64" s="24"/>
    </row>
    <row r="65" spans="2:4" x14ac:dyDescent="0.25">
      <c r="B65" s="24"/>
      <c r="C65" s="24"/>
      <c r="D65" s="24"/>
    </row>
    <row r="66" spans="2:4" x14ac:dyDescent="0.25">
      <c r="B66" s="24"/>
      <c r="C66" s="24"/>
      <c r="D66" s="24"/>
    </row>
    <row r="67" spans="2:4" x14ac:dyDescent="0.25">
      <c r="B67" s="24"/>
      <c r="C67" s="24"/>
      <c r="D67" s="24"/>
    </row>
  </sheetData>
  <mergeCells count="15">
    <mergeCell ref="C40:H43"/>
    <mergeCell ref="C45:H46"/>
    <mergeCell ref="C48:H49"/>
    <mergeCell ref="C51:H52"/>
    <mergeCell ref="C54:H55"/>
    <mergeCell ref="A25:B25"/>
    <mergeCell ref="A29:B29"/>
    <mergeCell ref="G3:H3"/>
    <mergeCell ref="G4:H4"/>
    <mergeCell ref="E2:J2"/>
    <mergeCell ref="B4:C4"/>
    <mergeCell ref="E4:F4"/>
    <mergeCell ref="I4:J4"/>
    <mergeCell ref="E3:F3"/>
    <mergeCell ref="I3:J3"/>
  </mergeCells>
  <hyperlinks>
    <hyperlink ref="B2" location="Meny!A1" display="Tilbake til Meny" xr:uid="{88BCA133-D6A3-4DD0-8C1D-9D58AA320A89}"/>
    <hyperlink ref="B57" location="Meny!A1" display="Tilbake til Meny" xr:uid="{E17CC5B3-785B-482D-824F-136B3F85197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D0F78-7854-4B19-B769-149A0FA0A6EA}">
  <dimension ref="A1:S70"/>
  <sheetViews>
    <sheetView showGridLines="0" zoomScale="110" zoomScaleNormal="110" workbookViewId="0"/>
  </sheetViews>
  <sheetFormatPr baseColWidth="10" defaultColWidth="11.42578125" defaultRowHeight="15" x14ac:dyDescent="0.25"/>
  <cols>
    <col min="1" max="1" width="51.28515625" bestFit="1" customWidth="1"/>
    <col min="2" max="2" width="10.5703125" customWidth="1"/>
    <col min="3" max="3" width="16.85546875" bestFit="1" customWidth="1"/>
    <col min="4" max="4" width="18.28515625" bestFit="1" customWidth="1"/>
    <col min="5" max="5" width="16" bestFit="1" customWidth="1"/>
    <col min="6" max="6" width="13.42578125" bestFit="1" customWidth="1"/>
    <col min="7" max="8" width="12.85546875" bestFit="1" customWidth="1"/>
    <col min="9" max="18" width="13.28515625" bestFit="1" customWidth="1"/>
    <col min="19" max="19" width="15.42578125" bestFit="1" customWidth="1"/>
  </cols>
  <sheetData>
    <row r="1" spans="1:19" ht="21" x14ac:dyDescent="0.35">
      <c r="A1" s="30" t="s">
        <v>27</v>
      </c>
      <c r="B1" s="30"/>
    </row>
    <row r="2" spans="1:19" x14ac:dyDescent="0.25">
      <c r="A2" s="1" t="s">
        <v>66</v>
      </c>
      <c r="B2" s="1"/>
    </row>
    <row r="3" spans="1:19" s="34" customFormat="1" ht="12.75" x14ac:dyDescent="0.2">
      <c r="A3" s="42" t="s">
        <v>67</v>
      </c>
      <c r="B3" s="43">
        <v>0.04</v>
      </c>
      <c r="E3" s="76"/>
    </row>
    <row r="4" spans="1:19" s="34" customFormat="1" ht="12.75" x14ac:dyDescent="0.2">
      <c r="C4" s="35"/>
    </row>
    <row r="5" spans="1:19" s="34" customFormat="1" ht="12.75" x14ac:dyDescent="0.2">
      <c r="A5" s="172" t="s">
        <v>69</v>
      </c>
      <c r="B5" s="173"/>
      <c r="D5" s="34" t="s">
        <v>161</v>
      </c>
      <c r="E5" s="34" t="s">
        <v>162</v>
      </c>
    </row>
    <row r="6" spans="1:19" s="34" customFormat="1" ht="14.25" x14ac:dyDescent="0.25">
      <c r="A6" s="38" t="s">
        <v>70</v>
      </c>
      <c r="B6" s="39">
        <v>850000</v>
      </c>
      <c r="D6" s="39">
        <f>-(2.6*10^9)*0.8 -(2.6*10^9)*0.08</f>
        <v>-2288000000</v>
      </c>
      <c r="E6" s="39">
        <f>-(2.6*10^9)*0.8 -(2.6*10^9)*0.08</f>
        <v>-2288000000</v>
      </c>
    </row>
    <row r="7" spans="1:19" s="34" customFormat="1" ht="14.25" x14ac:dyDescent="0.25">
      <c r="A7" s="38" t="s">
        <v>71</v>
      </c>
      <c r="B7" s="39">
        <v>580</v>
      </c>
      <c r="D7" s="39">
        <f>-(2.6*10^9)*0.8 -(2.6*10^9)*0.08</f>
        <v>-2288000000</v>
      </c>
      <c r="E7" s="39">
        <f>-(2.6*10^9)*0.8 -(2.6*10^9)*0.08</f>
        <v>-2288000000</v>
      </c>
    </row>
    <row r="8" spans="1:19" s="34" customFormat="1" ht="12.75" x14ac:dyDescent="0.2">
      <c r="A8" s="40" t="s">
        <v>72</v>
      </c>
      <c r="B8" s="41">
        <f>SUM(B6:B7)</f>
        <v>850580</v>
      </c>
    </row>
    <row r="9" spans="1:19" s="34" customFormat="1" ht="12.75" x14ac:dyDescent="0.2">
      <c r="A9" s="172" t="s">
        <v>73</v>
      </c>
      <c r="B9" s="173"/>
    </row>
    <row r="10" spans="1:19" s="34" customFormat="1" ht="14.25" x14ac:dyDescent="0.25">
      <c r="A10" s="38" t="s">
        <v>70</v>
      </c>
      <c r="B10" s="39">
        <v>50000</v>
      </c>
    </row>
    <row r="12" spans="1:19" ht="15.75" x14ac:dyDescent="0.25">
      <c r="A12" s="50" t="s">
        <v>74</v>
      </c>
      <c r="B12" s="66"/>
    </row>
    <row r="13" spans="1:19" s="61" customFormat="1" ht="12.75" x14ac:dyDescent="0.2">
      <c r="A13" s="49" t="s">
        <v>76</v>
      </c>
      <c r="B13" s="49" t="s">
        <v>21</v>
      </c>
      <c r="C13" s="49" t="s">
        <v>77</v>
      </c>
      <c r="D13" s="49">
        <v>2030</v>
      </c>
      <c r="E13" s="49">
        <v>2031</v>
      </c>
      <c r="F13" s="49">
        <v>2032</v>
      </c>
      <c r="G13" s="49">
        <v>2033</v>
      </c>
      <c r="H13" s="49">
        <v>2034</v>
      </c>
      <c r="I13" s="49">
        <v>2035</v>
      </c>
      <c r="J13" s="49">
        <v>2036</v>
      </c>
      <c r="K13" s="49">
        <v>2037</v>
      </c>
      <c r="L13" s="49">
        <v>2038</v>
      </c>
      <c r="M13" s="49">
        <v>2039</v>
      </c>
      <c r="N13" s="49">
        <v>2040</v>
      </c>
      <c r="O13" s="49">
        <v>2041</v>
      </c>
      <c r="P13" s="49">
        <v>2042</v>
      </c>
      <c r="Q13" s="49">
        <v>2043</v>
      </c>
      <c r="R13" s="49">
        <v>2044</v>
      </c>
    </row>
    <row r="14" spans="1:19" s="94" customFormat="1" ht="12.75" x14ac:dyDescent="0.2">
      <c r="A14" s="42" t="s">
        <v>78</v>
      </c>
      <c r="B14" s="93"/>
      <c r="C14" s="92"/>
      <c r="D14" s="39">
        <f>-$B$10*Karbonprisbaner!I4</f>
        <v>-111500000</v>
      </c>
      <c r="E14" s="39">
        <f>-$B$10*Karbonprisbaner!J4</f>
        <v>-111500000</v>
      </c>
      <c r="F14" s="39">
        <f>-$B$10*Karbonprisbaner!K4</f>
        <v>-111500000</v>
      </c>
      <c r="G14" s="39">
        <f>-$B$10*Karbonprisbaner!L4</f>
        <v>-111500000</v>
      </c>
      <c r="H14" s="39">
        <f>-$B$10*Karbonprisbaner!M4</f>
        <v>-111500000</v>
      </c>
      <c r="I14" s="39">
        <f>-$B$10*Karbonprisbaner!N4</f>
        <v>-111500000</v>
      </c>
      <c r="J14" s="39">
        <f>-$B$10*Karbonprisbaner!O4</f>
        <v>-111500000</v>
      </c>
      <c r="K14" s="39">
        <f>-$B$10*Karbonprisbaner!P4</f>
        <v>-111500000</v>
      </c>
      <c r="L14" s="39">
        <f>-$B$10*Karbonprisbaner!Q4</f>
        <v>-111500000</v>
      </c>
      <c r="M14" s="39">
        <f>-$B$10*Karbonprisbaner!R4</f>
        <v>-111500000</v>
      </c>
      <c r="N14" s="39">
        <f>-$B$10*Karbonprisbaner!S4</f>
        <v>-111500000</v>
      </c>
      <c r="O14" s="39">
        <f>-$B$10*Karbonprisbaner!T4</f>
        <v>-111500000</v>
      </c>
      <c r="P14" s="39">
        <f>-$B$10*Karbonprisbaner!U4</f>
        <v>-111500000</v>
      </c>
      <c r="Q14" s="39">
        <f>-$B$10*Karbonprisbaner!V4</f>
        <v>-111500000</v>
      </c>
      <c r="R14" s="39">
        <f>-$B$10*Karbonprisbaner!W4</f>
        <v>-111500000</v>
      </c>
    </row>
    <row r="15" spans="1:19" s="34" customFormat="1" ht="12.75" x14ac:dyDescent="0.2">
      <c r="A15" s="42" t="s">
        <v>35</v>
      </c>
      <c r="B15" s="88">
        <v>1</v>
      </c>
      <c r="C15" s="39"/>
      <c r="D15" s="39">
        <f>$B$8*Karbonprisbaner!I4</f>
        <v>1896793400</v>
      </c>
      <c r="E15" s="39">
        <f>$B$8*Karbonprisbaner!J4</f>
        <v>1896793400</v>
      </c>
      <c r="F15" s="39">
        <f>$B$8*Karbonprisbaner!K4</f>
        <v>1896793400</v>
      </c>
      <c r="G15" s="39">
        <f>$B$8*Karbonprisbaner!L4</f>
        <v>1896793400</v>
      </c>
      <c r="H15" s="39">
        <f>$B$8*Karbonprisbaner!M4</f>
        <v>1896793400</v>
      </c>
      <c r="I15" s="39">
        <f>$B$8*Karbonprisbaner!N4</f>
        <v>1896793400</v>
      </c>
      <c r="J15" s="39">
        <f>$B$8*Karbonprisbaner!O4</f>
        <v>1896793400</v>
      </c>
      <c r="K15" s="39">
        <f>$B$8*Karbonprisbaner!P4</f>
        <v>1896793400</v>
      </c>
      <c r="L15" s="39">
        <f>$B$8*Karbonprisbaner!Q4</f>
        <v>1896793400</v>
      </c>
      <c r="M15" s="39">
        <f>$B$8*Karbonprisbaner!R4</f>
        <v>1896793400</v>
      </c>
      <c r="N15" s="39">
        <f>$B$8*Karbonprisbaner!S4</f>
        <v>1896793400</v>
      </c>
      <c r="O15" s="39">
        <f>$B$8*Karbonprisbaner!T4</f>
        <v>1896793400</v>
      </c>
      <c r="P15" s="39">
        <f>$B$8*Karbonprisbaner!U4</f>
        <v>1896793400</v>
      </c>
      <c r="Q15" s="39">
        <f>$B$8*Karbonprisbaner!V4</f>
        <v>1896793400</v>
      </c>
      <c r="R15" s="39">
        <f>$B$8*Karbonprisbaner!W4</f>
        <v>1896793400</v>
      </c>
      <c r="S15" s="37"/>
    </row>
    <row r="16" spans="1:19" s="34" customFormat="1" ht="12.75" x14ac:dyDescent="0.2">
      <c r="A16" s="42" t="s">
        <v>36</v>
      </c>
      <c r="B16" s="89">
        <v>2</v>
      </c>
      <c r="C16" s="39"/>
      <c r="D16" s="39">
        <f>((6.5*10^9)/26.97)*3.4*9.6</f>
        <v>7866518353.7263622</v>
      </c>
      <c r="E16" s="39">
        <f t="shared" ref="E16:Q16" si="0">((6.5*10^9)/26.97)*3.4*9.6</f>
        <v>7866518353.7263622</v>
      </c>
      <c r="F16" s="39">
        <f t="shared" si="0"/>
        <v>7866518353.7263622</v>
      </c>
      <c r="G16" s="39">
        <f t="shared" si="0"/>
        <v>7866518353.7263622</v>
      </c>
      <c r="H16" s="39">
        <f t="shared" si="0"/>
        <v>7866518353.7263622</v>
      </c>
      <c r="I16" s="39">
        <f t="shared" si="0"/>
        <v>7866518353.7263622</v>
      </c>
      <c r="J16" s="39">
        <f t="shared" si="0"/>
        <v>7866518353.7263622</v>
      </c>
      <c r="K16" s="39">
        <f t="shared" si="0"/>
        <v>7866518353.7263622</v>
      </c>
      <c r="L16" s="39">
        <f t="shared" si="0"/>
        <v>7866518353.7263622</v>
      </c>
      <c r="M16" s="39">
        <f t="shared" si="0"/>
        <v>7866518353.7263622</v>
      </c>
      <c r="N16" s="39">
        <f t="shared" si="0"/>
        <v>7866518353.7263622</v>
      </c>
      <c r="O16" s="39">
        <f t="shared" si="0"/>
        <v>7866518353.7263622</v>
      </c>
      <c r="P16" s="39">
        <f t="shared" si="0"/>
        <v>7866518353.7263622</v>
      </c>
      <c r="Q16" s="39">
        <f t="shared" si="0"/>
        <v>7866518353.7263622</v>
      </c>
      <c r="R16" s="39">
        <f>((5.8*10^9)/26.97)*3.4*9.6</f>
        <v>7019354838.7096767</v>
      </c>
    </row>
    <row r="17" spans="1:19" s="34" customFormat="1" ht="12.75" x14ac:dyDescent="0.2">
      <c r="A17" s="42" t="s">
        <v>37</v>
      </c>
      <c r="B17" s="89">
        <v>3</v>
      </c>
      <c r="C17" s="39"/>
      <c r="D17" s="39">
        <f t="shared" ref="D17:I17" si="1">(-19.8*10^9)*0.08</f>
        <v>-1584000000</v>
      </c>
      <c r="E17" s="39">
        <f t="shared" si="1"/>
        <v>-1584000000</v>
      </c>
      <c r="F17" s="39">
        <f t="shared" si="1"/>
        <v>-1584000000</v>
      </c>
      <c r="G17" s="39">
        <f t="shared" si="1"/>
        <v>-1584000000</v>
      </c>
      <c r="H17" s="39">
        <f t="shared" si="1"/>
        <v>-1584000000</v>
      </c>
      <c r="I17" s="39">
        <f t="shared" si="1"/>
        <v>-1584000000</v>
      </c>
      <c r="J17" s="39">
        <f>(-19.8*10^9)*0.05</f>
        <v>-990000000</v>
      </c>
      <c r="K17" s="39">
        <f t="shared" ref="K17:R17" si="2">(-19.8*10^9)*0.05</f>
        <v>-990000000</v>
      </c>
      <c r="L17" s="39">
        <f t="shared" si="2"/>
        <v>-990000000</v>
      </c>
      <c r="M17" s="39">
        <f t="shared" si="2"/>
        <v>-990000000</v>
      </c>
      <c r="N17" s="39">
        <f t="shared" si="2"/>
        <v>-990000000</v>
      </c>
      <c r="O17" s="39">
        <f t="shared" si="2"/>
        <v>-990000000</v>
      </c>
      <c r="P17" s="39">
        <f t="shared" si="2"/>
        <v>-990000000</v>
      </c>
      <c r="Q17" s="39">
        <f t="shared" si="2"/>
        <v>-990000000</v>
      </c>
      <c r="R17" s="39">
        <f t="shared" si="2"/>
        <v>-990000000</v>
      </c>
    </row>
    <row r="18" spans="1:19" s="34" customFormat="1" x14ac:dyDescent="0.25">
      <c r="A18" s="42" t="s">
        <v>38</v>
      </c>
      <c r="B18" s="85">
        <v>4</v>
      </c>
      <c r="C18" s="39"/>
      <c r="D18" s="39">
        <f>-(2.6*10^9)*0.84 -(2.6*10^9)*0.084</f>
        <v>-2402400000</v>
      </c>
      <c r="E18" s="39">
        <f t="shared" ref="E18:R18" si="3">-(2.6*10^9)*0.84 -(2.6*10^9)*0.084</f>
        <v>-2402400000</v>
      </c>
      <c r="F18" s="39">
        <f t="shared" si="3"/>
        <v>-2402400000</v>
      </c>
      <c r="G18" s="39">
        <f t="shared" si="3"/>
        <v>-2402400000</v>
      </c>
      <c r="H18" s="39">
        <f t="shared" si="3"/>
        <v>-2402400000</v>
      </c>
      <c r="I18" s="39">
        <f t="shared" si="3"/>
        <v>-2402400000</v>
      </c>
      <c r="J18" s="39">
        <f t="shared" si="3"/>
        <v>-2402400000</v>
      </c>
      <c r="K18" s="39">
        <f t="shared" si="3"/>
        <v>-2402400000</v>
      </c>
      <c r="L18" s="39">
        <f t="shared" si="3"/>
        <v>-2402400000</v>
      </c>
      <c r="M18" s="39">
        <f t="shared" si="3"/>
        <v>-2402400000</v>
      </c>
      <c r="N18" s="39">
        <f t="shared" si="3"/>
        <v>-2402400000</v>
      </c>
      <c r="O18" s="39">
        <f t="shared" si="3"/>
        <v>-2402400000</v>
      </c>
      <c r="P18" s="39">
        <f t="shared" si="3"/>
        <v>-2402400000</v>
      </c>
      <c r="Q18" s="39">
        <f t="shared" si="3"/>
        <v>-2402400000</v>
      </c>
      <c r="R18" s="39">
        <f t="shared" si="3"/>
        <v>-2402400000</v>
      </c>
    </row>
    <row r="19" spans="1:19" s="34" customFormat="1" ht="12.75" x14ac:dyDescent="0.2">
      <c r="A19" s="42" t="s">
        <v>39</v>
      </c>
      <c r="B19" s="42"/>
      <c r="C19" s="39">
        <v>-8500000000</v>
      </c>
      <c r="D19" s="39"/>
      <c r="E19" s="39"/>
      <c r="F19" s="39"/>
      <c r="G19" s="39"/>
      <c r="H19" s="39"/>
      <c r="I19" s="39"/>
      <c r="J19" s="39"/>
      <c r="K19" s="39"/>
      <c r="L19" s="39"/>
      <c r="M19" s="39"/>
      <c r="N19" s="39"/>
      <c r="O19" s="39"/>
      <c r="P19" s="39"/>
      <c r="Q19" s="39"/>
      <c r="R19" s="39"/>
    </row>
    <row r="20" spans="1:19" s="34" customFormat="1" ht="12.75" x14ac:dyDescent="0.2">
      <c r="A20" s="42" t="s">
        <v>40</v>
      </c>
      <c r="B20" s="42"/>
      <c r="C20" s="39">
        <v>-4700000000</v>
      </c>
      <c r="D20" s="39"/>
      <c r="E20" s="39"/>
      <c r="F20" s="39"/>
      <c r="G20" s="39"/>
      <c r="H20" s="39"/>
      <c r="I20" s="39"/>
      <c r="J20" s="39"/>
      <c r="K20" s="39"/>
      <c r="L20" s="39"/>
      <c r="M20" s="39"/>
      <c r="N20" s="39"/>
      <c r="O20" s="39"/>
      <c r="P20" s="39"/>
      <c r="Q20" s="39"/>
      <c r="R20" s="39"/>
    </row>
    <row r="21" spans="1:19" s="34" customFormat="1" x14ac:dyDescent="0.25">
      <c r="A21" s="42" t="s">
        <v>41</v>
      </c>
      <c r="B21" s="85">
        <v>8</v>
      </c>
      <c r="C21" s="39">
        <f>-((2.7*0.5)+(3.5*0.5))*10^9</f>
        <v>-3100000000</v>
      </c>
      <c r="D21" s="39"/>
      <c r="E21" s="39"/>
      <c r="F21" s="39"/>
      <c r="G21" s="39"/>
      <c r="H21" s="39"/>
      <c r="I21" s="39"/>
      <c r="J21" s="39"/>
      <c r="K21" s="39"/>
      <c r="L21" s="39"/>
      <c r="M21" s="39"/>
      <c r="N21" s="39"/>
      <c r="O21" s="39"/>
      <c r="P21" s="39"/>
      <c r="Q21" s="39"/>
      <c r="R21" s="39"/>
    </row>
    <row r="22" spans="1:19" s="34" customFormat="1" ht="12.75" x14ac:dyDescent="0.2">
      <c r="A22" s="42" t="s">
        <v>42</v>
      </c>
      <c r="B22" s="42"/>
      <c r="C22" s="39">
        <v>-500000000</v>
      </c>
      <c r="D22" s="39"/>
      <c r="E22" s="39"/>
      <c r="F22" s="39"/>
      <c r="G22" s="39"/>
      <c r="H22" s="39"/>
      <c r="I22" s="39"/>
      <c r="J22" s="39"/>
      <c r="K22" s="39"/>
      <c r="L22" s="39"/>
      <c r="M22" s="39"/>
      <c r="N22" s="39"/>
      <c r="O22" s="39"/>
      <c r="P22" s="39"/>
      <c r="Q22" s="39"/>
      <c r="R22" s="39"/>
    </row>
    <row r="23" spans="1:19" s="46" customFormat="1" ht="12.75" x14ac:dyDescent="0.2">
      <c r="A23" s="48" t="s">
        <v>74</v>
      </c>
      <c r="B23" s="48"/>
      <c r="C23" s="41">
        <f>SUM(C15:C22)</f>
        <v>-16800000000</v>
      </c>
      <c r="D23" s="41">
        <f>SUM(D14:D22)</f>
        <v>5665411753.7263622</v>
      </c>
      <c r="E23" s="41">
        <f t="shared" ref="E23:R23" si="4">SUM(E14:E22)</f>
        <v>5665411753.7263622</v>
      </c>
      <c r="F23" s="41">
        <f t="shared" si="4"/>
        <v>5665411753.7263622</v>
      </c>
      <c r="G23" s="41">
        <f t="shared" si="4"/>
        <v>5665411753.7263622</v>
      </c>
      <c r="H23" s="41">
        <f t="shared" si="4"/>
        <v>5665411753.7263622</v>
      </c>
      <c r="I23" s="41">
        <f t="shared" si="4"/>
        <v>5665411753.7263622</v>
      </c>
      <c r="J23" s="41">
        <f t="shared" si="4"/>
        <v>6259411753.7263622</v>
      </c>
      <c r="K23" s="41">
        <f t="shared" si="4"/>
        <v>6259411753.7263622</v>
      </c>
      <c r="L23" s="41">
        <f t="shared" si="4"/>
        <v>6259411753.7263622</v>
      </c>
      <c r="M23" s="41">
        <f t="shared" si="4"/>
        <v>6259411753.7263622</v>
      </c>
      <c r="N23" s="41">
        <f t="shared" si="4"/>
        <v>6259411753.7263622</v>
      </c>
      <c r="O23" s="41">
        <f t="shared" si="4"/>
        <v>6259411753.7263622</v>
      </c>
      <c r="P23" s="41">
        <f t="shared" si="4"/>
        <v>6259411753.7263622</v>
      </c>
      <c r="Q23" s="41">
        <f t="shared" si="4"/>
        <v>6259411753.7263622</v>
      </c>
      <c r="R23" s="41">
        <f t="shared" si="4"/>
        <v>5412248238.7096767</v>
      </c>
    </row>
    <row r="25" spans="1:19" x14ac:dyDescent="0.25">
      <c r="A25" s="170" t="s">
        <v>79</v>
      </c>
      <c r="B25" s="171"/>
      <c r="C25" s="45">
        <f>+C23+NPV($B$3,D23:R23)</f>
        <v>49210335854.606682</v>
      </c>
    </row>
    <row r="26" spans="1:19" x14ac:dyDescent="0.25">
      <c r="D26" s="24">
        <f>NPV($B$3,D18:R18)</f>
        <v>-26710813967.040684</v>
      </c>
      <c r="S26" s="24"/>
    </row>
    <row r="27" spans="1:19" x14ac:dyDescent="0.25">
      <c r="D27" s="95"/>
    </row>
    <row r="28" spans="1:19" x14ac:dyDescent="0.25">
      <c r="D28" s="24"/>
      <c r="E28" s="24"/>
      <c r="F28" s="24"/>
      <c r="G28" s="24"/>
      <c r="H28" s="24"/>
      <c r="I28" s="24"/>
      <c r="J28" s="24"/>
      <c r="K28" s="24"/>
      <c r="L28" s="24"/>
      <c r="M28" s="24"/>
      <c r="N28" s="24"/>
      <c r="O28" s="24"/>
      <c r="P28" s="24"/>
      <c r="Q28" s="24"/>
      <c r="R28" s="24"/>
    </row>
    <row r="29" spans="1:19" ht="21" x14ac:dyDescent="0.35">
      <c r="A29" s="30" t="s">
        <v>132</v>
      </c>
      <c r="B29" s="30"/>
    </row>
    <row r="30" spans="1:19" x14ac:dyDescent="0.25">
      <c r="A30" s="1" t="s">
        <v>66</v>
      </c>
      <c r="B30" s="1"/>
    </row>
    <row r="31" spans="1:19" s="34" customFormat="1" ht="12.75" x14ac:dyDescent="0.2">
      <c r="A31" s="42" t="s">
        <v>67</v>
      </c>
      <c r="B31" s="43">
        <v>0.04</v>
      </c>
    </row>
    <row r="32" spans="1:19" s="34" customFormat="1" ht="12.75" x14ac:dyDescent="0.2">
      <c r="C32" s="35"/>
    </row>
    <row r="33" spans="1:18" s="34" customFormat="1" ht="12.75" x14ac:dyDescent="0.2">
      <c r="A33" s="172" t="s">
        <v>73</v>
      </c>
      <c r="B33" s="173"/>
    </row>
    <row r="34" spans="1:18" s="34" customFormat="1" ht="14.25" x14ac:dyDescent="0.25">
      <c r="A34" s="38" t="s">
        <v>70</v>
      </c>
      <c r="B34" s="39">
        <v>900000</v>
      </c>
    </row>
    <row r="35" spans="1:18" s="34" customFormat="1" ht="14.25" x14ac:dyDescent="0.25">
      <c r="A35" s="38" t="s">
        <v>71</v>
      </c>
      <c r="B35" s="39">
        <v>580</v>
      </c>
    </row>
    <row r="36" spans="1:18" s="34" customFormat="1" ht="12.75" x14ac:dyDescent="0.2">
      <c r="A36" s="40" t="s">
        <v>72</v>
      </c>
      <c r="B36" s="41">
        <f>SUM(B34:B35)</f>
        <v>900580</v>
      </c>
    </row>
    <row r="37" spans="1:18" s="34" customFormat="1" ht="12.75" x14ac:dyDescent="0.2">
      <c r="A37" s="36"/>
      <c r="B37" s="36"/>
    </row>
    <row r="38" spans="1:18" s="34" customFormat="1" ht="12.75" x14ac:dyDescent="0.2"/>
    <row r="40" spans="1:18" ht="15.75" x14ac:dyDescent="0.25">
      <c r="A40" s="50" t="s">
        <v>74</v>
      </c>
      <c r="B40" s="66"/>
      <c r="D40">
        <v>1</v>
      </c>
      <c r="E40">
        <v>2</v>
      </c>
      <c r="F40">
        <v>3</v>
      </c>
      <c r="G40">
        <v>4</v>
      </c>
      <c r="H40">
        <v>5</v>
      </c>
      <c r="I40">
        <v>6</v>
      </c>
      <c r="J40">
        <v>7</v>
      </c>
      <c r="K40">
        <v>8</v>
      </c>
      <c r="L40">
        <v>9</v>
      </c>
      <c r="M40">
        <v>10</v>
      </c>
      <c r="N40">
        <v>11</v>
      </c>
      <c r="O40">
        <v>12</v>
      </c>
      <c r="P40">
        <v>13</v>
      </c>
      <c r="Q40">
        <v>14</v>
      </c>
    </row>
    <row r="41" spans="1:18" s="61" customFormat="1" ht="12.75" x14ac:dyDescent="0.2">
      <c r="A41" s="49" t="s">
        <v>76</v>
      </c>
      <c r="B41" s="49" t="s">
        <v>21</v>
      </c>
      <c r="C41" s="49"/>
      <c r="D41" s="49">
        <v>2030</v>
      </c>
      <c r="E41" s="49">
        <v>2031</v>
      </c>
      <c r="F41" s="49">
        <v>2032</v>
      </c>
      <c r="G41" s="49">
        <v>2033</v>
      </c>
      <c r="H41" s="49">
        <v>2034</v>
      </c>
      <c r="I41" s="49">
        <v>2035</v>
      </c>
      <c r="J41" s="49">
        <v>2036</v>
      </c>
      <c r="K41" s="49">
        <v>2037</v>
      </c>
      <c r="L41" s="49">
        <v>2038</v>
      </c>
      <c r="M41" s="49">
        <v>2039</v>
      </c>
      <c r="N41" s="49">
        <v>2040</v>
      </c>
      <c r="O41" s="49">
        <v>2041</v>
      </c>
      <c r="P41" s="49">
        <v>2042</v>
      </c>
      <c r="Q41" s="49">
        <v>2043</v>
      </c>
    </row>
    <row r="42" spans="1:18" s="34" customFormat="1" ht="12.75" x14ac:dyDescent="0.2">
      <c r="A42" s="42" t="s">
        <v>78</v>
      </c>
      <c r="B42" s="89">
        <v>5</v>
      </c>
      <c r="C42" s="39"/>
      <c r="D42" s="39">
        <f>-$B$36*Karbonprisbaner!I$4</f>
        <v>-2008293400</v>
      </c>
      <c r="E42" s="39">
        <f>-$B$36*Karbonprisbaner!J$4</f>
        <v>-2008293400</v>
      </c>
      <c r="F42" s="39">
        <f>-$B$36*Karbonprisbaner!K$4</f>
        <v>-2008293400</v>
      </c>
      <c r="G42" s="39">
        <f>-$B$36*Karbonprisbaner!L$4</f>
        <v>-2008293400</v>
      </c>
      <c r="H42" s="39">
        <f>-$B$36*Karbonprisbaner!M$4</f>
        <v>-2008293400</v>
      </c>
      <c r="I42" s="39">
        <f>-$B$36*Karbonprisbaner!N$4</f>
        <v>-2008293400</v>
      </c>
      <c r="J42" s="39">
        <f>-$B$36*Karbonprisbaner!O$4</f>
        <v>-2008293400</v>
      </c>
      <c r="K42" s="39">
        <f>-$B$36*Karbonprisbaner!P$4</f>
        <v>-2008293400</v>
      </c>
      <c r="L42" s="39">
        <f>-$B$36*Karbonprisbaner!Q$4</f>
        <v>-2008293400</v>
      </c>
      <c r="M42" s="39">
        <f>-$B$36*Karbonprisbaner!R$4</f>
        <v>-2008293400</v>
      </c>
      <c r="N42" s="39">
        <f>-$B$36*Karbonprisbaner!S$4</f>
        <v>-2008293400</v>
      </c>
      <c r="O42" s="39">
        <f>-$B$36*Karbonprisbaner!T$4</f>
        <v>-2008293400</v>
      </c>
      <c r="P42" s="39">
        <f>-$B$36*Karbonprisbaner!U$4</f>
        <v>-2008293400</v>
      </c>
      <c r="Q42" s="39">
        <f>-$B$36*Karbonprisbaner!V$4</f>
        <v>-2008293400</v>
      </c>
      <c r="R42" s="37"/>
    </row>
    <row r="43" spans="1:18" s="34" customFormat="1" ht="12.75" x14ac:dyDescent="0.2">
      <c r="A43" s="42" t="s">
        <v>36</v>
      </c>
      <c r="B43" s="89">
        <v>6</v>
      </c>
      <c r="C43" s="39"/>
      <c r="D43" s="39">
        <f>((6.5*10^9)/26.97)*3.4*9.6</f>
        <v>7866518353.7263622</v>
      </c>
      <c r="E43" s="39">
        <f t="shared" ref="E43:Q43" si="5">((6.5*10^9)/26.97)*3.4*9.6</f>
        <v>7866518353.7263622</v>
      </c>
      <c r="F43" s="39">
        <f t="shared" si="5"/>
        <v>7866518353.7263622</v>
      </c>
      <c r="G43" s="39">
        <f t="shared" si="5"/>
        <v>7866518353.7263622</v>
      </c>
      <c r="H43" s="39">
        <f t="shared" si="5"/>
        <v>7866518353.7263622</v>
      </c>
      <c r="I43" s="39">
        <f t="shared" si="5"/>
        <v>7866518353.7263622</v>
      </c>
      <c r="J43" s="39">
        <f t="shared" si="5"/>
        <v>7866518353.7263622</v>
      </c>
      <c r="K43" s="39">
        <f t="shared" si="5"/>
        <v>7866518353.7263622</v>
      </c>
      <c r="L43" s="39">
        <f t="shared" si="5"/>
        <v>7866518353.7263622</v>
      </c>
      <c r="M43" s="39">
        <f t="shared" si="5"/>
        <v>7866518353.7263622</v>
      </c>
      <c r="N43" s="39">
        <f t="shared" si="5"/>
        <v>7866518353.7263622</v>
      </c>
      <c r="O43" s="39">
        <f t="shared" si="5"/>
        <v>7866518353.7263622</v>
      </c>
      <c r="P43" s="39">
        <f t="shared" si="5"/>
        <v>7866518353.7263622</v>
      </c>
      <c r="Q43" s="39">
        <f t="shared" si="5"/>
        <v>7866518353.7263622</v>
      </c>
    </row>
    <row r="44" spans="1:18" s="34" customFormat="1" ht="12.75" x14ac:dyDescent="0.2">
      <c r="A44" s="42" t="s">
        <v>39</v>
      </c>
      <c r="B44" s="89">
        <v>7</v>
      </c>
      <c r="C44" s="39">
        <f>-8.5*10^9</f>
        <v>-8500000000</v>
      </c>
      <c r="D44" s="39"/>
      <c r="E44" s="39"/>
      <c r="F44" s="39"/>
      <c r="G44" s="39"/>
      <c r="H44" s="39"/>
      <c r="I44" s="39"/>
      <c r="J44" s="39"/>
      <c r="K44" s="39"/>
      <c r="L44" s="39"/>
      <c r="M44" s="39"/>
      <c r="N44" s="39"/>
      <c r="O44" s="39"/>
      <c r="P44" s="39"/>
      <c r="Q44" s="39"/>
    </row>
    <row r="45" spans="1:18" s="46" customFormat="1" ht="12.75" x14ac:dyDescent="0.2">
      <c r="A45" s="48" t="s">
        <v>74</v>
      </c>
      <c r="B45" s="48"/>
      <c r="C45" s="41">
        <f>SUM(C44:C44)</f>
        <v>-8500000000</v>
      </c>
      <c r="D45" s="41">
        <f t="shared" ref="D45:Q45" si="6">SUM(D42:D44)</f>
        <v>5858224953.7263622</v>
      </c>
      <c r="E45" s="41">
        <f t="shared" si="6"/>
        <v>5858224953.7263622</v>
      </c>
      <c r="F45" s="41">
        <f t="shared" si="6"/>
        <v>5858224953.7263622</v>
      </c>
      <c r="G45" s="41">
        <f t="shared" si="6"/>
        <v>5858224953.7263622</v>
      </c>
      <c r="H45" s="41">
        <f t="shared" si="6"/>
        <v>5858224953.7263622</v>
      </c>
      <c r="I45" s="41">
        <f t="shared" si="6"/>
        <v>5858224953.7263622</v>
      </c>
      <c r="J45" s="41">
        <f t="shared" si="6"/>
        <v>5858224953.7263622</v>
      </c>
      <c r="K45" s="41">
        <f t="shared" si="6"/>
        <v>5858224953.7263622</v>
      </c>
      <c r="L45" s="41">
        <f t="shared" si="6"/>
        <v>5858224953.7263622</v>
      </c>
      <c r="M45" s="41">
        <f t="shared" si="6"/>
        <v>5858224953.7263622</v>
      </c>
      <c r="N45" s="41">
        <f t="shared" si="6"/>
        <v>5858224953.7263622</v>
      </c>
      <c r="O45" s="41">
        <f t="shared" si="6"/>
        <v>5858224953.7263622</v>
      </c>
      <c r="P45" s="41">
        <f t="shared" si="6"/>
        <v>5858224953.7263622</v>
      </c>
      <c r="Q45" s="41">
        <f t="shared" si="6"/>
        <v>5858224953.7263622</v>
      </c>
    </row>
    <row r="47" spans="1:18" x14ac:dyDescent="0.25">
      <c r="A47" s="170" t="s">
        <v>79</v>
      </c>
      <c r="B47" s="171"/>
      <c r="C47" s="45">
        <f>+C45+NPV($B$3,D45:Q45)</f>
        <v>53381150334.611473</v>
      </c>
    </row>
    <row r="53" spans="1:18" ht="15.75" x14ac:dyDescent="0.25">
      <c r="A53" s="52" t="s">
        <v>138</v>
      </c>
      <c r="B53" s="66"/>
    </row>
    <row r="54" spans="1:18" s="53" customFormat="1" x14ac:dyDescent="0.25">
      <c r="A54" s="49" t="s">
        <v>76</v>
      </c>
      <c r="B54" s="49" t="s">
        <v>21</v>
      </c>
      <c r="C54" s="49"/>
      <c r="D54" s="49">
        <v>2030</v>
      </c>
      <c r="E54" s="49">
        <v>2031</v>
      </c>
      <c r="F54" s="49">
        <v>2032</v>
      </c>
      <c r="G54" s="49">
        <v>2033</v>
      </c>
      <c r="H54" s="49">
        <v>2034</v>
      </c>
      <c r="I54" s="49">
        <v>2035</v>
      </c>
      <c r="J54" s="49">
        <v>2036</v>
      </c>
      <c r="K54" s="49">
        <v>2037</v>
      </c>
      <c r="L54" s="49">
        <v>2038</v>
      </c>
      <c r="M54" s="49">
        <v>2039</v>
      </c>
      <c r="N54" s="49">
        <v>2040</v>
      </c>
      <c r="O54" s="49">
        <v>2041</v>
      </c>
      <c r="P54" s="49">
        <v>2042</v>
      </c>
      <c r="Q54" s="49">
        <v>2043</v>
      </c>
      <c r="R54" s="49">
        <v>2044</v>
      </c>
    </row>
    <row r="55" spans="1:18" s="53" customFormat="1" x14ac:dyDescent="0.25">
      <c r="A55" s="42" t="s">
        <v>139</v>
      </c>
      <c r="B55" s="93"/>
      <c r="C55" s="92"/>
      <c r="D55" s="39">
        <f>-$B$10*Karbonprisbaner!I$22</f>
        <v>0</v>
      </c>
      <c r="E55" s="39">
        <f>-$B$10*Karbonprisbaner!J$22</f>
        <v>0</v>
      </c>
      <c r="F55" s="39">
        <f>-$B$10*Karbonprisbaner!K$22</f>
        <v>0</v>
      </c>
      <c r="G55" s="39">
        <f>-$B$10*Karbonprisbaner!L$22</f>
        <v>0</v>
      </c>
      <c r="H55" s="39">
        <f>-$B$10*Karbonprisbaner!M$22</f>
        <v>0</v>
      </c>
      <c r="I55" s="39">
        <f>-$B$10*Karbonprisbaner!N$22</f>
        <v>0</v>
      </c>
      <c r="J55" s="39">
        <f>-$B$10*Karbonprisbaner!O$22</f>
        <v>0</v>
      </c>
      <c r="K55" s="39">
        <f>-$B$10*Karbonprisbaner!P$22</f>
        <v>0</v>
      </c>
      <c r="L55" s="39">
        <f>-$B$10*Karbonprisbaner!Q$22</f>
        <v>0</v>
      </c>
      <c r="M55" s="39">
        <f>-$B$10*Karbonprisbaner!R$22</f>
        <v>0</v>
      </c>
      <c r="N55" s="39">
        <f>-$B$10*Karbonprisbaner!S$22</f>
        <v>0</v>
      </c>
      <c r="O55" s="39">
        <f>-$B$10*Karbonprisbaner!T$22</f>
        <v>0</v>
      </c>
      <c r="P55" s="39">
        <f>-$B$10*Karbonprisbaner!U$22</f>
        <v>0</v>
      </c>
      <c r="Q55" s="39">
        <f>-$B$10*Karbonprisbaner!V$22</f>
        <v>0</v>
      </c>
      <c r="R55" s="39">
        <f>-$B$10*Karbonprisbaner!W$22</f>
        <v>0</v>
      </c>
    </row>
    <row r="56" spans="1:18" x14ac:dyDescent="0.25">
      <c r="A56" s="42" t="s">
        <v>140</v>
      </c>
      <c r="B56" s="64"/>
      <c r="C56" s="39"/>
      <c r="D56" s="39">
        <f>+$B$8*Karbonprisbaner!I$22</f>
        <v>0</v>
      </c>
      <c r="E56" s="39">
        <f>+$B$8*Karbonprisbaner!J$22</f>
        <v>0</v>
      </c>
      <c r="F56" s="39">
        <f>+$B$8*Karbonprisbaner!K$22</f>
        <v>0</v>
      </c>
      <c r="G56" s="39">
        <f>+$B$8*Karbonprisbaner!L$22</f>
        <v>0</v>
      </c>
      <c r="H56" s="39">
        <f>+$B$8*Karbonprisbaner!M$22</f>
        <v>0</v>
      </c>
      <c r="I56" s="39">
        <f>+$B$8*Karbonprisbaner!N$22</f>
        <v>0</v>
      </c>
      <c r="J56" s="39">
        <f>+$B$8*Karbonprisbaner!O$22</f>
        <v>0</v>
      </c>
      <c r="K56" s="39">
        <f>+$B$8*Karbonprisbaner!P$22</f>
        <v>0</v>
      </c>
      <c r="L56" s="39">
        <f>+$B$8*Karbonprisbaner!Q$22</f>
        <v>0</v>
      </c>
      <c r="M56" s="39">
        <f>+$B$8*Karbonprisbaner!R$22</f>
        <v>0</v>
      </c>
      <c r="N56" s="39">
        <f>+$B$8*Karbonprisbaner!S$22</f>
        <v>0</v>
      </c>
      <c r="O56" s="39">
        <f>+$B$8*Karbonprisbaner!T$22</f>
        <v>0</v>
      </c>
      <c r="P56" s="39">
        <f>+$B$8*Karbonprisbaner!U$22</f>
        <v>0</v>
      </c>
      <c r="Q56" s="39">
        <f>+$B$8*Karbonprisbaner!V$22</f>
        <v>0</v>
      </c>
      <c r="R56" s="39">
        <f>+$B$8*Karbonprisbaner!W$22</f>
        <v>0</v>
      </c>
    </row>
    <row r="57" spans="1:18" x14ac:dyDescent="0.25">
      <c r="A57" s="42" t="s">
        <v>36</v>
      </c>
      <c r="B57" s="64"/>
      <c r="C57" s="39"/>
      <c r="D57" s="39">
        <f>((6.5*10^9)/26.97)*3.4*9.6</f>
        <v>7866518353.7263622</v>
      </c>
      <c r="E57" s="39">
        <f t="shared" ref="E57:Q57" si="7">((6.5*10^9)/26.97)*3.4*9.6</f>
        <v>7866518353.7263622</v>
      </c>
      <c r="F57" s="39">
        <f t="shared" si="7"/>
        <v>7866518353.7263622</v>
      </c>
      <c r="G57" s="39">
        <f t="shared" si="7"/>
        <v>7866518353.7263622</v>
      </c>
      <c r="H57" s="39">
        <f t="shared" si="7"/>
        <v>7866518353.7263622</v>
      </c>
      <c r="I57" s="39">
        <f t="shared" si="7"/>
        <v>7866518353.7263622</v>
      </c>
      <c r="J57" s="39">
        <f t="shared" si="7"/>
        <v>7866518353.7263622</v>
      </c>
      <c r="K57" s="39">
        <f t="shared" si="7"/>
        <v>7866518353.7263622</v>
      </c>
      <c r="L57" s="39">
        <f t="shared" si="7"/>
        <v>7866518353.7263622</v>
      </c>
      <c r="M57" s="39">
        <f t="shared" si="7"/>
        <v>7866518353.7263622</v>
      </c>
      <c r="N57" s="39">
        <f t="shared" si="7"/>
        <v>7866518353.7263622</v>
      </c>
      <c r="O57" s="39">
        <f t="shared" si="7"/>
        <v>7866518353.7263622</v>
      </c>
      <c r="P57" s="39">
        <f t="shared" si="7"/>
        <v>7866518353.7263622</v>
      </c>
      <c r="Q57" s="39">
        <f t="shared" si="7"/>
        <v>7866518353.7263622</v>
      </c>
      <c r="R57" s="39">
        <f>((5.8*10^9)/26.97)*3.4*9.6</f>
        <v>7019354838.7096767</v>
      </c>
    </row>
    <row r="58" spans="1:18" x14ac:dyDescent="0.25">
      <c r="A58" s="42" t="s">
        <v>37</v>
      </c>
      <c r="B58" s="64"/>
      <c r="C58" s="39"/>
      <c r="D58" s="39">
        <f t="shared" ref="D58:I58" si="8">(-19.8*10^9)*0.08</f>
        <v>-1584000000</v>
      </c>
      <c r="E58" s="39">
        <f t="shared" si="8"/>
        <v>-1584000000</v>
      </c>
      <c r="F58" s="39">
        <f t="shared" si="8"/>
        <v>-1584000000</v>
      </c>
      <c r="G58" s="39">
        <f t="shared" si="8"/>
        <v>-1584000000</v>
      </c>
      <c r="H58" s="39">
        <f t="shared" si="8"/>
        <v>-1584000000</v>
      </c>
      <c r="I58" s="39">
        <f t="shared" si="8"/>
        <v>-1584000000</v>
      </c>
      <c r="J58" s="39">
        <f>(-19.8*10^9)*0.05</f>
        <v>-990000000</v>
      </c>
      <c r="K58" s="39">
        <f t="shared" ref="K58:R58" si="9">(-19.8*10^9)*0.05</f>
        <v>-990000000</v>
      </c>
      <c r="L58" s="39">
        <f t="shared" si="9"/>
        <v>-990000000</v>
      </c>
      <c r="M58" s="39">
        <f t="shared" si="9"/>
        <v>-990000000</v>
      </c>
      <c r="N58" s="39">
        <f t="shared" si="9"/>
        <v>-990000000</v>
      </c>
      <c r="O58" s="39">
        <f t="shared" si="9"/>
        <v>-990000000</v>
      </c>
      <c r="P58" s="39">
        <f t="shared" si="9"/>
        <v>-990000000</v>
      </c>
      <c r="Q58" s="39">
        <f t="shared" si="9"/>
        <v>-990000000</v>
      </c>
      <c r="R58" s="39">
        <f t="shared" si="9"/>
        <v>-990000000</v>
      </c>
    </row>
    <row r="59" spans="1:18" x14ac:dyDescent="0.25">
      <c r="A59" s="42" t="s">
        <v>136</v>
      </c>
      <c r="B59" s="64"/>
      <c r="C59" s="39"/>
      <c r="D59" s="39">
        <f t="shared" ref="D59:R59" si="10">-(2.6*10^9)*0.8 -(2.6*10^9)*0.08</f>
        <v>-2288000000</v>
      </c>
      <c r="E59" s="39">
        <f t="shared" si="10"/>
        <v>-2288000000</v>
      </c>
      <c r="F59" s="39">
        <f t="shared" si="10"/>
        <v>-2288000000</v>
      </c>
      <c r="G59" s="39">
        <f t="shared" si="10"/>
        <v>-2288000000</v>
      </c>
      <c r="H59" s="39">
        <f t="shared" si="10"/>
        <v>-2288000000</v>
      </c>
      <c r="I59" s="39">
        <f t="shared" si="10"/>
        <v>-2288000000</v>
      </c>
      <c r="J59" s="39">
        <f t="shared" si="10"/>
        <v>-2288000000</v>
      </c>
      <c r="K59" s="39">
        <f t="shared" si="10"/>
        <v>-2288000000</v>
      </c>
      <c r="L59" s="39">
        <f t="shared" si="10"/>
        <v>-2288000000</v>
      </c>
      <c r="M59" s="39">
        <f t="shared" si="10"/>
        <v>-2288000000</v>
      </c>
      <c r="N59" s="39">
        <f t="shared" si="10"/>
        <v>-2288000000</v>
      </c>
      <c r="O59" s="39">
        <f t="shared" si="10"/>
        <v>-2288000000</v>
      </c>
      <c r="P59" s="39">
        <f t="shared" si="10"/>
        <v>-2288000000</v>
      </c>
      <c r="Q59" s="39">
        <f t="shared" si="10"/>
        <v>-2288000000</v>
      </c>
      <c r="R59" s="39">
        <f t="shared" si="10"/>
        <v>-2288000000</v>
      </c>
    </row>
    <row r="60" spans="1:18" x14ac:dyDescent="0.25">
      <c r="A60" s="42" t="s">
        <v>39</v>
      </c>
      <c r="B60" s="42"/>
      <c r="C60" s="39">
        <v>-8500000000</v>
      </c>
      <c r="D60" s="39"/>
      <c r="E60" s="39"/>
      <c r="F60" s="39"/>
      <c r="G60" s="39"/>
      <c r="H60" s="39"/>
      <c r="I60" s="39"/>
      <c r="J60" s="39"/>
      <c r="K60" s="39"/>
      <c r="L60" s="39"/>
      <c r="M60" s="39"/>
      <c r="N60" s="39"/>
      <c r="O60" s="39"/>
      <c r="P60" s="39"/>
      <c r="Q60" s="39"/>
      <c r="R60" s="39"/>
    </row>
    <row r="61" spans="1:18" x14ac:dyDescent="0.25">
      <c r="A61" s="42" t="s">
        <v>40</v>
      </c>
      <c r="B61" s="42"/>
      <c r="C61" s="39">
        <v>-4700000000</v>
      </c>
      <c r="D61" s="39"/>
      <c r="E61" s="39"/>
      <c r="F61" s="39"/>
      <c r="G61" s="39"/>
      <c r="H61" s="39"/>
      <c r="I61" s="39"/>
      <c r="J61" s="39"/>
      <c r="K61" s="39"/>
      <c r="L61" s="39"/>
      <c r="M61" s="39"/>
      <c r="N61" s="39"/>
      <c r="O61" s="39"/>
      <c r="P61" s="39"/>
      <c r="Q61" s="39"/>
      <c r="R61" s="39"/>
    </row>
    <row r="62" spans="1:18" x14ac:dyDescent="0.25">
      <c r="A62" s="42" t="s">
        <v>41</v>
      </c>
      <c r="B62" s="84"/>
      <c r="C62" s="39">
        <f>-((2.7*0.5)+(3.5*0.5))*10^9</f>
        <v>-3100000000</v>
      </c>
      <c r="D62" s="39"/>
      <c r="E62" s="39"/>
      <c r="F62" s="39"/>
      <c r="G62" s="39"/>
      <c r="H62" s="39"/>
      <c r="I62" s="39"/>
      <c r="J62" s="39"/>
      <c r="K62" s="39"/>
      <c r="L62" s="39"/>
      <c r="M62" s="39"/>
      <c r="N62" s="39"/>
      <c r="O62" s="39"/>
      <c r="P62" s="39"/>
      <c r="Q62" s="39"/>
      <c r="R62" s="39"/>
    </row>
    <row r="63" spans="1:18" x14ac:dyDescent="0.25">
      <c r="A63" s="42" t="s">
        <v>42</v>
      </c>
      <c r="B63" s="42"/>
      <c r="C63" s="39">
        <v>-500000000</v>
      </c>
      <c r="D63" s="39"/>
      <c r="E63" s="39"/>
      <c r="F63" s="39"/>
      <c r="G63" s="39"/>
      <c r="H63" s="39"/>
      <c r="I63" s="39"/>
      <c r="J63" s="39"/>
      <c r="K63" s="39"/>
      <c r="L63" s="39"/>
      <c r="M63" s="39"/>
      <c r="N63" s="39"/>
      <c r="O63" s="39"/>
      <c r="P63" s="39"/>
      <c r="Q63" s="39"/>
      <c r="R63" s="39"/>
    </row>
    <row r="64" spans="1:18" s="51" customFormat="1" x14ac:dyDescent="0.25">
      <c r="A64" s="48" t="s">
        <v>138</v>
      </c>
      <c r="B64" s="48"/>
      <c r="C64" s="41">
        <f>SUM(C56:C63)</f>
        <v>-16800000000</v>
      </c>
      <c r="D64" s="41">
        <f t="shared" ref="D64:R64" si="11">SUM(D55:D63)</f>
        <v>3994518353.7263622</v>
      </c>
      <c r="E64" s="41">
        <f t="shared" si="11"/>
        <v>3994518353.7263622</v>
      </c>
      <c r="F64" s="41">
        <f t="shared" si="11"/>
        <v>3994518353.7263622</v>
      </c>
      <c r="G64" s="41">
        <f t="shared" si="11"/>
        <v>3994518353.7263622</v>
      </c>
      <c r="H64" s="41">
        <f t="shared" si="11"/>
        <v>3994518353.7263622</v>
      </c>
      <c r="I64" s="41">
        <f t="shared" si="11"/>
        <v>3994518353.7263622</v>
      </c>
      <c r="J64" s="41">
        <f t="shared" si="11"/>
        <v>4588518353.7263622</v>
      </c>
      <c r="K64" s="41">
        <f t="shared" si="11"/>
        <v>4588518353.7263622</v>
      </c>
      <c r="L64" s="41">
        <f t="shared" si="11"/>
        <v>4588518353.7263622</v>
      </c>
      <c r="M64" s="41">
        <f t="shared" si="11"/>
        <v>4588518353.7263622</v>
      </c>
      <c r="N64" s="41">
        <f t="shared" si="11"/>
        <v>4588518353.7263622</v>
      </c>
      <c r="O64" s="41">
        <f t="shared" si="11"/>
        <v>4588518353.7263622</v>
      </c>
      <c r="P64" s="41">
        <f t="shared" si="11"/>
        <v>4588518353.7263622</v>
      </c>
      <c r="Q64" s="41">
        <f t="shared" si="11"/>
        <v>4588518353.7263622</v>
      </c>
      <c r="R64" s="41">
        <f t="shared" si="11"/>
        <v>3741354838.7096767</v>
      </c>
    </row>
    <row r="65" spans="1:18" x14ac:dyDescent="0.25">
      <c r="C65" s="24"/>
      <c r="D65" s="24"/>
      <c r="E65" s="24"/>
      <c r="F65" s="24"/>
      <c r="G65" s="24"/>
      <c r="H65" s="24"/>
      <c r="I65" s="24"/>
      <c r="J65" s="24"/>
      <c r="K65" s="24"/>
      <c r="L65" s="24"/>
      <c r="M65" s="24"/>
      <c r="N65" s="24"/>
      <c r="O65" s="24"/>
      <c r="P65" s="24"/>
      <c r="Q65" s="24"/>
    </row>
    <row r="66" spans="1:18" x14ac:dyDescent="0.25">
      <c r="D66" s="24"/>
      <c r="E66" s="24"/>
      <c r="F66" s="24"/>
      <c r="G66" s="24"/>
      <c r="H66" s="24"/>
      <c r="I66" s="24"/>
      <c r="J66" s="24"/>
      <c r="K66" s="24"/>
      <c r="L66" s="24"/>
      <c r="M66" s="24"/>
      <c r="N66" s="24"/>
      <c r="O66" s="24"/>
      <c r="P66" s="24"/>
      <c r="Q66" s="24"/>
      <c r="R66" s="24"/>
    </row>
    <row r="67" spans="1:18" x14ac:dyDescent="0.25">
      <c r="A67" s="170" t="s">
        <v>141</v>
      </c>
      <c r="B67" s="171"/>
      <c r="C67" s="45">
        <f>+C64+NPV($B$3,D64:R64)</f>
        <v>30632695675.554016</v>
      </c>
    </row>
    <row r="69" spans="1:18" x14ac:dyDescent="0.25">
      <c r="D69" s="24">
        <f>NPV($B$31,D55:Q55)</f>
        <v>0</v>
      </c>
    </row>
    <row r="70" spans="1:18" x14ac:dyDescent="0.25">
      <c r="D70" s="24">
        <f>NPV($B$31,D56:Q56)</f>
        <v>0</v>
      </c>
    </row>
  </sheetData>
  <mergeCells count="6">
    <mergeCell ref="A67:B67"/>
    <mergeCell ref="A5:B5"/>
    <mergeCell ref="A9:B9"/>
    <mergeCell ref="A25:B25"/>
    <mergeCell ref="A33:B33"/>
    <mergeCell ref="A47:B47"/>
  </mergeCells>
  <hyperlinks>
    <hyperlink ref="B17" location="Noter!A1" display="Noter!A1" xr:uid="{C259F1DD-AF9C-4BF2-A3D7-17022597D37A}"/>
    <hyperlink ref="B16" location="Noter!A1" display="Noter!A1" xr:uid="{3803E26C-A7A6-45F5-A1FE-88064BE4BDA5}"/>
    <hyperlink ref="B15" location="Noter!A1" display="Noter!A1" xr:uid="{8D922030-892F-4717-A8DD-1AEC99E32BAD}"/>
    <hyperlink ref="B18" location="Noter!A1" display="Noter!A1" xr:uid="{91894E15-E63D-4F83-9E7C-FD2F5B5565DC}"/>
    <hyperlink ref="B21" location="Noter!A1" display="Noter!A1" xr:uid="{E836598C-0780-4A8A-AD10-53A3AFF3712E}"/>
    <hyperlink ref="B42" location="Noter!A1" display="Noter!A1" xr:uid="{1C28A0A2-EB4C-450E-A382-AA9C50FF0A41}"/>
    <hyperlink ref="B43" location="Noter!A1" display="Noter!A1" xr:uid="{04BA28DD-5026-46D7-8794-52103BA9DD9C}"/>
    <hyperlink ref="B44" location="Noter!A1" display="Noter!A1" xr:uid="{6A12E141-B536-47BF-B967-6BAAC085B22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12</vt:i4>
      </vt:variant>
    </vt:vector>
  </HeadingPairs>
  <TitlesOfParts>
    <vt:vector size="12" baseType="lpstr">
      <vt:lpstr>Meny</vt:lpstr>
      <vt:lpstr>Netto nåverdier oppsummering</vt:lpstr>
      <vt:lpstr>NNV- Elektrifisering av Melkøya</vt:lpstr>
      <vt:lpstr>NNV- el Melkøya</vt:lpstr>
      <vt:lpstr>Tallfeste virkninger Melkøya</vt:lpstr>
      <vt:lpstr>NNV- nullalternativ</vt:lpstr>
      <vt:lpstr>Følsomhetsanalyse</vt:lpstr>
      <vt:lpstr>Endring karbonpris</vt:lpstr>
      <vt:lpstr>Mellomregning</vt:lpstr>
      <vt:lpstr>Karbonprisbaner</vt:lpstr>
      <vt:lpstr>Forventningsverdier</vt:lpstr>
      <vt:lpstr>Noter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Oddmund Klæboe</dc:creator>
  <cp:keywords/>
  <dc:description/>
  <cp:lastModifiedBy>Oddmund Klæboe</cp:lastModifiedBy>
  <cp:revision/>
  <dcterms:created xsi:type="dcterms:W3CDTF">2023-09-26T11:22:23Z</dcterms:created>
  <dcterms:modified xsi:type="dcterms:W3CDTF">2023-12-11T05:54:52Z</dcterms:modified>
  <cp:category/>
  <cp:contentStatus/>
</cp:coreProperties>
</file>