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tik Patel\Downloads\"/>
    </mc:Choice>
  </mc:AlternateContent>
  <xr:revisionPtr revIDLastSave="0" documentId="13_ncr:1_{1D228786-E91E-430E-99C6-E04C2E52416C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8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9" l="1"/>
  <c r="G9" i="10"/>
  <c r="I9" i="10"/>
  <c r="J9" i="10"/>
  <c r="H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<sst xmlns="http://schemas.openxmlformats.org/spreadsheetml/2006/main" count="496" uniqueCount="441">
  <si>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</si>
  <si>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</si>
  <si>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</si>
  <si>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</si>
  <si>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</si>
  <si>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</si>
  <si>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</si>
  <si>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</si>
  <si>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</si>
  <si>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</si>
  <si>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</si>
  <si>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</si>
  <si>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</si>
  <si>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</si>
  <si>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</si>
  <si>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</si>
  <si>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</si>
  <si>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</si>
  <si>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</si>
  <si>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</si>
  <si>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</si>
  <si>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</si>
  <si>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</si>
  <si>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</si>
  <si>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</si>
  <si>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</si>
  <si>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</si>
  <si>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</si>
  <si>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</si>
  <si>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</si>
  <si>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</si>
  <si>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</si>
  <si>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</si>
  <si>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</si>
  <si>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</si>
  <si>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</si>
  <si>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</si>
  <si>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</si>
  <si>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</si>
  <si>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</si>
  <si>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</si>
  <si>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</si>
  <si>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</si>
  <si>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</si>
  <si>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</si>
  <si>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</si>
  <si>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</si>
  <si>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</si>
  <si>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</si>
  <si>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</si>
  <si>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</si>
  <si>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</si>
  <si>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</si>
  <si>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</si>
  <si>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</si>
  <si>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</si>
  <si>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</si>
  <si>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</si>
  <si>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</si>
  <si>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</si>
  <si>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</si>
  <si>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</si>
  <si>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</si>
  <si>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</si>
  <si>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</si>
  <si>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</si>
  <si>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</si>
  <si>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</si>
  <si>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</si>
  <si>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</si>
  <si>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</si>
  <si>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</si>
  <si>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</si>
  <si>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</si>
  <si>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</si>
  <si>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</si>
  <si>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</si>
  <si>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</si>
  <si>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</si>
  <si>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</si>
  <si>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</si>
  <si>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</si>
  <si>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</si>
  <si>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</si>
  <si>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</si>
  <si>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</si>
  <si>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</si>
  <si>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</si>
  <si>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</si>
  <si>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</si>
  <si>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</si>
  <si>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</si>
  <si>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</si>
  <si>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</si>
  <si>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</si>
  <si>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</si>
  <si>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</si>
  <si>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</si>
  <si>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</si>
  <si>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</si>
  <si>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</si>
  <si>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</si>
  <si>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</si>
  <si>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</si>
  <si>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</si>
  <si>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</si>
  <si>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</si>
  <si>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</si>
  <si>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</si>
  <si>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</si>
  <si>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</si>
  <si>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</si>
  <si>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</si>
  <si>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</si>
  <si>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</si>
  <si>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</si>
  <si>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</si>
  <si>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</si>
  <si>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</si>
  <si>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</si>
  <si>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</si>
  <si>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</si>
  <si>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</si>
  <si>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</si>
  <si>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</si>
  <si>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</si>
  <si>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</si>
  <si>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</si>
  <si>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</si>
  <si>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</si>
  <si>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</si>
  <si>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</si>
  <si>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</si>
  <si>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</si>
  <si>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</si>
  <si>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</si>
  <si>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</si>
  <si>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</si>
  <si>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</si>
  <si>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</si>
  <si>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</si>
  <si>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</si>
  <si>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</si>
  <si>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</si>
  <si>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</si>
  <si>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</si>
  <si>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</si>
  <si>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</si>
  <si>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</si>
  <si>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</si>
  <si>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</si>
  <si>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</si>
  <si>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</si>
  <si>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</si>
  <si>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</si>
  <si>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</si>
  <si>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</si>
  <si>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</si>
  <si>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</si>
  <si>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</si>
  <si>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</si>
  <si>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</si>
  <si>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</si>
  <si>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</si>
  <si>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</si>
  <si>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</si>
  <si>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</si>
  <si>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</si>
  <si>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</si>
  <si>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</si>
  <si>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</si>
  <si>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</si>
  <si>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</si>
  <si>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</si>
  <si>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</si>
  <si>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</si>
  <si>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</si>
  <si>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</si>
  <si>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</si>
  <si>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</si>
  <si>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</si>
  <si>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</si>
  <si>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</si>
  <si>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</si>
  <si>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</si>
  <si>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</si>
  <si>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</si>
  <si>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</si>
  <si>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</si>
  <si>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</si>
  <si>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</si>
  <si>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</si>
  <si>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</si>
  <si>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</si>
  <si>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</si>
  <si>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</si>
  <si>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</si>
  <si>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</si>
  <si>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</si>
  <si>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</si>
  <si>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</si>
  <si>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</si>
  <si>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</si>
  <si>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</si>
  <si>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</si>
  <si>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</si>
  <si>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</si>
  <si>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</si>
  <si>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</si>
  <si>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</si>
  <si>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</si>
  <si>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</si>
  <si>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</si>
  <si>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</si>
  <si>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</si>
  <si>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</si>
  <si>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</si>
  <si>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</si>
  <si>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</si>
  <si>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</si>
  <si>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</si>
  <si>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</si>
  <si>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</si>
  <si>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</si>
  <si>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</si>
  <si>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</si>
  <si>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</si>
  <si>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</si>
  <si>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</si>
  <si>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</si>
  <si>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</si>
  <si>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</si>
  <si>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</si>
  <si>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</si>
  <si>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</si>
  <si>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</si>
  <si>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</si>
  <si>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</si>
  <si>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</si>
  <si>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</si>
  <si>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</si>
  <si>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</si>
  <si>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</si>
  <si>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</si>
  <si>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</si>
  <si>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</si>
  <si>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</si>
  <si>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</si>
  <si>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</si>
  <si>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</si>
  <si>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</si>
  <si>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</si>
  <si>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</si>
  <si>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</si>
  <si>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</si>
  <si>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</si>
  <si>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</si>
  <si>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</si>
  <si>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</si>
  <si>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</si>
  <si>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</si>
  <si>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</si>
  <si>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</si>
  <si>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</si>
  <si>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</si>
  <si>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</si>
  <si>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</si>
  <si>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</si>
  <si>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</si>
  <si>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</si>
  <si>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</si>
  <si>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</si>
  <si>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</si>
  <si>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</si>
  <si>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</si>
  <si>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</si>
  <si>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</si>
  <si>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</si>
  <si>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</si>
  <si>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</si>
  <si>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</si>
  <si>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</si>
  <si>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</si>
  <si>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</si>
  <si>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</si>
  <si>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</si>
  <si>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</si>
  <si>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</si>
  <si>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</si>
  <si>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</si>
  <si>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</si>
  <si>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</si>
  <si>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</si>
  <si>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</si>
  <si>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</si>
  <si>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</si>
  <si>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</si>
  <si>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</si>
  <si>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</si>
  <si>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</si>
  <si>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</si>
  <si>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</si>
  <si>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</si>
  <si>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</si>
  <si>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</si>
  <si>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</si>
  <si>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</si>
  <si>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</si>
  <si>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</si>
  <si>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</si>
  <si>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</si>
  <si>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</si>
  <si>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</si>
  <si>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</si>
  <si>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</si>
  <si>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</si>
  <si>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</si>
  <si>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</si>
  <si>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</si>
  <si>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</si>
  <si>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</si>
  <si>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</si>
  <si>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</si>
  <si>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</si>
  <si>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</si>
  <si>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</si>
  <si>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</si>
  <si>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</si>
  <si>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</si>
  <si>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</si>
  <si>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</si>
  <si>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</si>
  <si>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</si>
  <si>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</si>
  <si>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</si>
  <si>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</si>
  <si>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</si>
  <si>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</si>
  <si>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</si>
  <si>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</si>
  <si>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</si>
  <si>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</si>
  <si>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</si>
  <si>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</si>
  <si>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</si>
  <si>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</si>
  <si>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</si>
  <si>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</si>
  <si>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</si>
  <si>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</si>
  <si>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</si>
  <si>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</si>
  <si>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</si>
  <si>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</si>
  <si>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</si>
  <si>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</si>
  <si>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</si>
  <si>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</si>
  <si>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</si>
  <si>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</si>
  <si>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</si>
  <si>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</si>
  <si>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</si>
  <si>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</si>
  <si>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</si>
  <si>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</si>
  <si>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</si>
  <si>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</si>
  <si>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</si>
  <si>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</si>
  <si>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</si>
  <si>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</si>
  <si>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</si>
  <si>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</si>
  <si>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</si>
  <si>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</si>
  <si>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</si>
  <si>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</si>
  <si>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</si>
  <si>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</si>
  <si>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</si>
  <si>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</si>
  <si>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</si>
  <si>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</si>
  <si>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</si>
  <si>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</si>
  <si>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</si>
  <si>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</si>
  <si>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</si>
  <si>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</si>
  <si>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</si>
  <si>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</si>
  <si>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</si>
  <si>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</si>
  <si>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</si>
  <si>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</si>
  <si>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</si>
  <si>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</si>
  <si>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</si>
  <si>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</si>
  <si>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</si>
  <si>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</si>
  <si>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</si>
  <si>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</si>
  <si>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</si>
  <si>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</si>
  <si>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</si>
  <si>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</si>
  <si>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</si>
  <si>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</si>
  <si>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</si>
  <si>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</si>
  <si>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</si>
  <si>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</si>
  <si>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</si>
  <si>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</si>
  <si>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</si>
  <si>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</si>
  <si>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</si>
  <si>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</si>
  <si>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</si>
  <si>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</si>
  <si>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</si>
  <si>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</si>
  <si>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</si>
  <si>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</si>
  <si>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</si>
  <si>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</si>
  <si>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</si>
  <si>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</si>
  <si>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</si>
  <si>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</si>
  <si>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</si>
  <si>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</si>
  <si>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</si>
  <si>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</si>
  <si>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</si>
  <si>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</si>
  <si>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</si>
  <si>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</si>
  <si>
    <t>CF with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</si>
</sst>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0" fillId="29" borderId="28" xfId="0" applyFill="1" applyBorder="1"/>
    <xf numFmtId="0" fontId="0" fillId="29" borderId="0" xfId="0" applyFill="1"/>
    <xf numFmtId="14" fontId="0" fillId="29" borderId="0" xfId="0" applyNumberFormat="1" applyFill="1"/>
    <xf numFmtId="20" fontId="0" fillId="29" borderId="0" xfId="0" applyNumberFormat="1" applyFill="1"/>
    <xf numFmtId="0" fontId="0" fillId="29" borderId="29" xfId="0" applyFill="1" applyBorder="1"/>
    <xf numFmtId="0" fontId="0" fillId="29" borderId="30" xfId="0" applyFill="1" applyBorder="1"/>
    <xf numFmtId="0" fontId="0" fillId="29" borderId="31" xfId="0" applyFill="1" applyBorder="1"/>
    <xf numFmtId="14" fontId="0" fillId="29" borderId="31" xfId="0" applyNumberFormat="1" applyFill="1" applyBorder="1"/>
    <xf numFmtId="20" fontId="0" fillId="29" borderId="31" xfId="0" applyNumberFormat="1" applyFill="1" applyBorder="1"/>
    <xf numFmtId="0" fontId="0" fillId="29" borderId="32" xfId="0" applyFill="1" applyBorder="1"/>
    <xf numFmtId="0" fontId="25" fillId="28" borderId="33" xfId="0" applyFont="1" applyFill="1" applyBorder="1" applyAlignment="1">
      <alignment horizontal="center"/>
    </xf>
    <xf numFmtId="0" fontId="25" fillId="28" borderId="34" xfId="0" applyFont="1" applyFill="1" applyBorder="1" applyAlignment="1">
      <alignment horizontal="center"/>
    </xf>
    <xf numFmtId="0" fontId="25" fillId="28" borderId="3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6"/>
      <tableStyleElement type="firstRowStripe" dxfId="45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trendline>
            <c:spPr>
              <a:ln w="6350" cap="rnd" cmpd="sng" algn="ctr">
                <a:solidFill>
                  <a:srgbClr val="4472C4"/>
                </a:solidFill>
                <a:prstDash val="solid"/>
                <a:round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trendline>
            <c:spPr>
              <a:ln>
                <a:solidFill>
                  <a:srgbClr val="ED7D31"/>
                </a:solidFill>
                <a:prstDash val="solid"/>
              </a:ln>
            </c:spPr>
            <c:trendlineType val="exp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A5A5A5"/>
                </a:solidFill>
                <a:prstDash val="solid"/>
              </a:ln>
            </c:spPr>
            <c:trendlineType val="log"/>
            <c:dispRSqr val="0"/>
            <c:dispEq val="0"/>
          </c:trendline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trendline>
            <c:spPr>
              <a:ln>
                <a:solidFill>
                  <a:srgbClr val="70AD47"/>
                </a:solidFill>
                <a:prstDash val="solid"/>
              </a:ln>
            </c:spPr>
            <c:trendlineType val="movingAvg"/>
            <c:period val="3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FFC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0-45B8-B7E8-F475A1A6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l"/>
      <c:overlay val="0"/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horizontal bar chart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trendline>
            <c:spPr>
              <a:ln>
                <a:solidFill>
                  <a:srgbClr val="ED7D31"/>
                </a:solidFill>
                <a:prstDash val="solid"/>
              </a:ln>
            </c:spPr>
            <c:trendlineType val="exp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F1A-4275-B2BE-C9AFCD205303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F1A-4275-B2BE-C9AFCD205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catAx>
        <c:axId val="17781237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 with hole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4968-47CD-A428-E1CFDB94D5E6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4968-47CD-A428-E1CFDB94D5E6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4968-47CD-A428-E1CFDB94D5E6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4968-47CD-A428-E1CFDB94D5E6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4968-47CD-A428-E1CFDB94D5E6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4968-47CD-A428-E1CFDB94D5E6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4968-47CD-A428-E1CFDB94D5E6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4968-47CD-A428-E1CFDB94D5E6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4968-47CD-A428-E1CFDB94D5E6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968-47CD-A428-E1CFDB94D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12</xdr:col>
      <xdr:colOff>9525</xdr:colOff>
      <xdr:row>18</xdr:row>
      <xdr:rowOff>38100</xdr:rowOff>
    </xdr:from>
    <xdr:to>
      <xdr:col>16</xdr:col>
      <xdr:colOff>161925</xdr:colOff>
      <xdr:row>31</xdr:row>
      <xdr:rowOff>47625</xdr:rowOff>
    </xdr:to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5D2716A1-A175-44F9-BBD0-26D27F88F15C}"/>
            </a:ext>
            <a:ext uri="{147F2762-F138-4A5C-976F-8EAC2B608ADB}">
              <a16:predDERef xmlns:a16="http://schemas.microsoft.com/office/drawing/2014/main" pre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38100</xdr:colOff>
      <xdr:row>32</xdr:row>
      <xdr:rowOff>104775</xdr:rowOff>
    </xdr:from>
    <xdr:to>
      <xdr:col>16</xdr:col>
      <xdr:colOff>190500</xdr:colOff>
      <xdr:row>52</xdr:row>
      <xdr:rowOff>47625</xdr:rowOff>
    </xdr:to>
    <xdr:graphicFrame macro="">
      <xdr:nvGraphicFramePr>
        <xdr:cNvPr id="10" name="Chart 9" title="Chart">
          <a:extLst>
            <a:ext uri="{FF2B5EF4-FFF2-40B4-BE49-F238E27FC236}">
              <a16:creationId xmlns:a16="http://schemas.microsoft.com/office/drawing/2014/main" id="{B8A2F032-405F-4BA7-AB00-B42F129443DB}"/>
            </a:ext>
            <a:ext uri="{147F2762-F138-4A5C-976F-8EAC2B608ADB}">
              <a16:predDERef xmlns:a16="http://schemas.microsoft.com/office/drawing/2014/main" pred="{5D2716A1-A175-44F9-BBD0-26D27F88F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66675</xdr:colOff>
      <xdr:row>71</xdr:row>
      <xdr:rowOff>114300</xdr:rowOff>
    </xdr:from>
    <xdr:to>
      <xdr:col>11</xdr:col>
      <xdr:colOff>361950</xdr:colOff>
      <xdr:row>89</xdr:row>
      <xdr:rowOff>152400</xdr:rowOff>
    </xdr:to>
    <xdr:graphicFrame macro="">
      <xdr:nvGraphicFramePr>
        <xdr:cNvPr id="11" name="Chart 10" title="Chart">
          <a:extLst>
            <a:ext uri="{FF2B5EF4-FFF2-40B4-BE49-F238E27FC236}">
              <a16:creationId xmlns:a16="http://schemas.microsoft.com/office/drawing/2014/main" id="{C61D9073-4096-46BA-BD71-5483ACC71F2A}"/>
            </a:ext>
            <a:ext uri="{147F2762-F138-4A5C-976F-8EAC2B608ADB}">
              <a16:predDERef xmlns:a16="http://schemas.microsoft.com/office/drawing/2014/main" pred="{B8A2F032-405F-4BA7-AB00-B42F129443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44" dataDxfId="43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42" totalsRowDxfId="41"/>
    <tableColumn id="2" xr3:uid="{C1F6911F-9482-4C98-BBFB-21D9CAA66DA4}" name="Age" totalsRowFunction="sum" dataDxfId="40" totalsRowDxfId="39"/>
    <tableColumn id="5" xr3:uid="{3CE9F5DA-0A57-4696-B4E0-53601C3B7798}" name="Rank" totalsRowFunction="sum" dataDxfId="38" totalsRowDxfId="37"/>
    <tableColumn id="6" xr3:uid="{34912838-665C-4472-B558-25990E5B148D}" name="Rank+Age =E4+D4" totalsRowFunction="sum" dataDxfId="36" totalsRowDxfId="35">
      <calculatedColumnFormula>Table3[[#This Row],[Rank]]+Table3[[#This Row],[Age]]</calculatedColumnFormula>
    </tableColumn>
    <tableColumn id="7" xr3:uid="{89D90022-7073-4067-BAF8-1587D27C4AFB}" name="Data =SUM(E4:E5)" totalsRowFunction="sum" dataDxfId="34" totalsRowDxfId="33">
      <calculatedColumnFormula>SUM(Table3[Rank])</calculatedColumnFormula>
    </tableColumn>
    <tableColumn id="8" xr3:uid="{B2A7E5BB-A379-492B-9484-72F2FD1FF3A0}" name="All =SUM(E3:E6)" totalsRowFunction="sum" dataDxfId="32" totalsRowDxfId="31">
      <calculatedColumnFormula>SUM(Table3[[#All],[Rank]])</calculatedColumnFormula>
    </tableColumn>
    <tableColumn id="9" xr3:uid="{3C532A69-E4BC-4A20-A922-4BCAA0D3FEC9}" name="Totals =E6" totalsRowFunction="sum" dataDxfId="30" totalsRowDxfId="29">
      <calculatedColumnFormula>Table3[[#Totals],[Rank]]</calculatedColumnFormula>
    </tableColumn>
    <tableColumn id="10" xr3:uid="{35E9E9C3-9148-468A-85B6-19290CEB6F00}" name="Headers =E3" totalsRowFunction="sum" dataDxfId="28" totalsRowDxfId="27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 x14ac:dyDescent="0.2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 x14ac:dyDescent="0.2">
      <c r="A1" s="21"/>
      <c r="C1" s="1" t="s">
        <v>0</v>
      </c>
      <c r="G1" s="117" t="s">
        <v>1</v>
      </c>
    </row>
    <row r="2" spans="1:12" ht="27.75" x14ac:dyDescent="0.2">
      <c r="B2" s="22" t="s">
        <v>2</v>
      </c>
      <c r="F2" s="2" t="s">
        <v>3</v>
      </c>
      <c r="G2" s="117">
        <v>5</v>
      </c>
      <c r="H2" s="118" t="s">
        <v>4</v>
      </c>
      <c r="I2" s="119"/>
      <c r="K2" s="3"/>
    </row>
    <row r="3" spans="1:12" ht="17.25" customHeight="1" x14ac:dyDescent="0.2">
      <c r="F3" s="4" t="s">
        <v>5</v>
      </c>
      <c r="G3" s="117">
        <v>8</v>
      </c>
      <c r="H3" s="119"/>
      <c r="I3" s="119"/>
      <c r="J3" s="5"/>
      <c r="K3" s="120">
        <v>5</v>
      </c>
      <c r="L3" s="6"/>
    </row>
    <row r="4" spans="1:12" ht="17.25" customHeight="1" x14ac:dyDescent="0.2">
      <c r="B4" s="7" t="s">
        <v>6</v>
      </c>
      <c r="C4" s="117">
        <v>12.4</v>
      </c>
      <c r="F4" s="8" t="s">
        <v>7</v>
      </c>
      <c r="G4" s="117">
        <v>9</v>
      </c>
      <c r="H4" s="119"/>
      <c r="I4" s="119"/>
      <c r="J4" s="5"/>
      <c r="K4" s="121"/>
      <c r="L4" s="6"/>
    </row>
    <row r="5" spans="1:12" ht="17.25" customHeight="1" x14ac:dyDescent="0.2">
      <c r="C5" s="117">
        <v>42</v>
      </c>
      <c r="G5" s="117">
        <v>15</v>
      </c>
      <c r="H5" s="119"/>
      <c r="I5" s="119"/>
      <c r="J5" s="5"/>
      <c r="K5" s="121"/>
      <c r="L5" s="6"/>
    </row>
    <row r="6" spans="1:12" ht="17.25" customHeight="1" x14ac:dyDescent="0.2">
      <c r="G6" s="117">
        <v>22</v>
      </c>
      <c r="J6" s="5"/>
      <c r="K6" s="121"/>
      <c r="L6" s="6"/>
    </row>
    <row r="7" spans="1:12" ht="17.25" customHeight="1" x14ac:dyDescent="0.2">
      <c r="C7" s="117">
        <v>3</v>
      </c>
      <c r="J7" s="5"/>
      <c r="K7" s="121"/>
      <c r="L7" s="6"/>
    </row>
    <row r="8" spans="1:12" ht="17.25" customHeight="1" x14ac:dyDescent="0.2">
      <c r="G8" s="117">
        <v>30</v>
      </c>
      <c r="J8" s="5"/>
      <c r="K8" s="122"/>
      <c r="L8" s="6"/>
    </row>
    <row r="9" spans="1:12" ht="17.25" customHeight="1" x14ac:dyDescent="0.2">
      <c r="B9" s="9" t="s">
        <v>8</v>
      </c>
      <c r="C9" s="117">
        <f>SUM(C4:C5)</f>
        <v>54.4</v>
      </c>
      <c r="K9" s="10"/>
    </row>
    <row r="10" spans="1:12" ht="17.25" customHeight="1" x14ac:dyDescent="0.2">
      <c r="C10" s="117">
        <f>SUM(C4:C7)</f>
        <v>57.4</v>
      </c>
      <c r="D10" s="117" t="s">
        <v>9</v>
      </c>
    </row>
    <row r="11" spans="1:12" ht="17.25" customHeight="1" x14ac:dyDescent="0.2">
      <c r="C11" s="117">
        <f>-(3+C7*SUM(C4:C7))</f>
        <v>-175.2</v>
      </c>
    </row>
    <row r="12" spans="1:12" ht="17.25" customHeight="1" x14ac:dyDescent="0.2">
      <c r="C12" s="117">
        <f>SUM(C9:C11)</f>
        <v>-63.399999999999991</v>
      </c>
      <c r="D12" s="117" t="s">
        <v>10</v>
      </c>
    </row>
    <row r="13" spans="1:12" ht="17.25" customHeight="1" x14ac:dyDescent="0.2">
      <c r="G13" s="117">
        <f>A1+A2+A3+A4+A5+A6+A7+A8+A9+A10+A11+A12+A13+A14+A15+A16+A17+A18</f>
        <v>0</v>
      </c>
    </row>
    <row r="14" spans="1:12" ht="17.25" customHeight="1" x14ac:dyDescent="0.2">
      <c r="B14" s="11" t="s">
        <v>11</v>
      </c>
      <c r="C14" s="117" t="str">
        <f ca="1">C14</f>
        <v>#CYCLE</v>
      </c>
    </row>
    <row r="15" spans="1:12" ht="17.25" customHeight="1" x14ac:dyDescent="0.2">
      <c r="C15" s="117" t="s">
        <v>12</v>
      </c>
    </row>
    <row r="16" spans="1:12" ht="17.25" customHeight="1" x14ac:dyDescent="0.2">
      <c r="C16" s="117" t="str">
        <f>C15</f>
        <v>=(+</v>
      </c>
    </row>
    <row r="17" spans="1:9" ht="17.25" customHeight="1" x14ac:dyDescent="0.2">
      <c r="C17" s="117" t="s">
        <v>13</v>
      </c>
    </row>
    <row r="18" spans="1:9" ht="17.25" customHeight="1" x14ac:dyDescent="0.2">
      <c r="C18" s="117" t="s">
        <v>14</v>
      </c>
    </row>
    <row r="19" spans="1:9" ht="17.25" customHeight="1" x14ac:dyDescent="0.2">
      <c r="E19" s="3"/>
      <c r="G19" s="3"/>
    </row>
    <row r="20" spans="1:9" ht="17.25" customHeight="1" x14ac:dyDescent="0.2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 x14ac:dyDescent="0.2">
      <c r="A21" s="13" t="s">
        <v>18</v>
      </c>
      <c r="B21" s="14">
        <f>jestCharts!B2</f>
        <v>0</v>
      </c>
      <c r="G21" s="10"/>
    </row>
    <row r="23" spans="1:9" ht="17.25" customHeight="1" x14ac:dyDescent="0.2">
      <c r="A23" s="13" t="s">
        <v>19</v>
      </c>
      <c r="C23" s="15">
        <v>0.43</v>
      </c>
      <c r="H23" s="117">
        <v>0</v>
      </c>
      <c r="I23" s="117">
        <v>0</v>
      </c>
    </row>
    <row r="24" spans="1:9" ht="17.25" customHeight="1" x14ac:dyDescent="0.2">
      <c r="C24" s="16">
        <v>10</v>
      </c>
      <c r="H24" s="117">
        <v>1</v>
      </c>
      <c r="I24" s="117">
        <v>1</v>
      </c>
    </row>
    <row r="25" spans="1:9" ht="17.25" customHeight="1" x14ac:dyDescent="0.2">
      <c r="C25" s="16">
        <v>10.122999999999999</v>
      </c>
      <c r="H25" s="117">
        <v>2</v>
      </c>
      <c r="I25" s="117">
        <v>2</v>
      </c>
    </row>
    <row r="26" spans="1:9" ht="17.25" customHeight="1" x14ac:dyDescent="0.2">
      <c r="B26" s="117" t="s">
        <v>20</v>
      </c>
      <c r="C26" s="117" t="s">
        <v>21</v>
      </c>
      <c r="H26" s="117">
        <v>3</v>
      </c>
      <c r="I26" s="117">
        <v>3</v>
      </c>
    </row>
    <row r="27" spans="1:9" ht="17.25" customHeight="1" x14ac:dyDescent="0.2">
      <c r="A27" s="117" t="s">
        <v>22</v>
      </c>
      <c r="B27" s="117">
        <v>12</v>
      </c>
      <c r="C27" s="117">
        <v>24</v>
      </c>
      <c r="H27" s="117">
        <v>4</v>
      </c>
      <c r="I27" s="117">
        <v>4</v>
      </c>
    </row>
    <row r="28" spans="1:9" ht="17.25" customHeight="1" x14ac:dyDescent="0.2">
      <c r="A28" s="117" t="s">
        <v>23</v>
      </c>
      <c r="B28" s="117">
        <v>48</v>
      </c>
      <c r="C28" s="117">
        <v>12</v>
      </c>
      <c r="H28" s="117">
        <v>5</v>
      </c>
      <c r="I28" s="117">
        <v>5</v>
      </c>
    </row>
    <row r="29" spans="1:9" ht="17.25" customHeight="1" x14ac:dyDescent="0.2">
      <c r="A29" s="117" t="s">
        <v>24</v>
      </c>
      <c r="B29" s="117">
        <v>45</v>
      </c>
      <c r="C29" s="117">
        <v>27</v>
      </c>
      <c r="H29" s="117">
        <v>6</v>
      </c>
      <c r="I29" s="117">
        <v>4</v>
      </c>
    </row>
    <row r="30" spans="1:9" ht="17.25" customHeight="1" x14ac:dyDescent="0.2">
      <c r="A30" s="117" t="s">
        <v>25</v>
      </c>
      <c r="B30" s="117">
        <v>1</v>
      </c>
      <c r="C30" s="117">
        <v>9</v>
      </c>
      <c r="H30" s="117">
        <v>7</v>
      </c>
      <c r="I30" s="117">
        <v>3</v>
      </c>
    </row>
    <row r="31" spans="1:9" ht="17.25" customHeight="1" x14ac:dyDescent="0.2">
      <c r="A31" s="117" t="s">
        <v>26</v>
      </c>
      <c r="B31" s="117">
        <v>25</v>
      </c>
      <c r="C31" s="117">
        <v>45</v>
      </c>
      <c r="H31" s="117">
        <v>8</v>
      </c>
      <c r="I31" s="117">
        <v>2</v>
      </c>
    </row>
    <row r="32" spans="1:9" ht="17.25" customHeight="1" x14ac:dyDescent="0.2">
      <c r="A32" s="117" t="s">
        <v>27</v>
      </c>
      <c r="B32" s="117">
        <v>31</v>
      </c>
      <c r="C32" s="117">
        <v>17</v>
      </c>
      <c r="H32" s="117">
        <v>9</v>
      </c>
      <c r="I32" s="117">
        <v>1</v>
      </c>
    </row>
    <row r="33" spans="1:9" ht="17.25" customHeight="1" x14ac:dyDescent="0.2">
      <c r="A33" s="117" t="s">
        <v>28</v>
      </c>
      <c r="B33" s="117">
        <v>20</v>
      </c>
      <c r="C33" s="117">
        <v>43</v>
      </c>
      <c r="H33" s="117">
        <v>10</v>
      </c>
      <c r="I33" s="117">
        <v>0</v>
      </c>
    </row>
    <row r="34" spans="1:9" ht="17.25" customHeight="1" x14ac:dyDescent="0.2">
      <c r="A34" s="117" t="s">
        <v>29</v>
      </c>
      <c r="B34" s="117">
        <v>19</v>
      </c>
      <c r="C34" s="117">
        <v>11</v>
      </c>
    </row>
    <row r="35" spans="1:9" ht="17.25" customHeight="1" x14ac:dyDescent="0.2">
      <c r="A35" s="117" t="s">
        <v>30</v>
      </c>
      <c r="B35" s="117">
        <v>16</v>
      </c>
      <c r="C35" s="117">
        <v>16</v>
      </c>
    </row>
  </sheetData>
  <mergeCells count="2">
    <mergeCell ref="H2:I5"/>
    <mergeCell ref="K3:K8"/>
  </mergeCells>
  <conditionalFormatting sqref="C1:C100 B21">
    <cfRule type="cellIs" dxfId="26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 x14ac:dyDescent="0.2"/>
  <cols>
    <col min="1" max="26" width="13.7109375" customWidth="1"/>
  </cols>
  <sheetData>
    <row r="1" spans="1:18" ht="17.25" customHeight="1" x14ac:dyDescent="0.2">
      <c r="A1" s="117" t="s">
        <v>31</v>
      </c>
      <c r="B1" s="117" t="s">
        <v>32</v>
      </c>
      <c r="C1" s="117" t="s">
        <v>33</v>
      </c>
      <c r="D1" s="1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17">
        <v>0.1</v>
      </c>
      <c r="P1" s="17" t="s">
        <v>40</v>
      </c>
    </row>
    <row r="2" spans="1:18" ht="17.25" customHeight="1" x14ac:dyDescent="0.2">
      <c r="A2" s="117" t="s">
        <v>41</v>
      </c>
      <c r="B2" s="117">
        <f>ABS(-5.5)</f>
        <v>5.5</v>
      </c>
      <c r="C2" s="117">
        <v>5.5</v>
      </c>
      <c r="D2" s="117">
        <f t="shared" ref="D2:D33" si="0">IF(B2=C2,1,0)</f>
        <v>1</v>
      </c>
      <c r="G2" s="117" t="s">
        <v>42</v>
      </c>
      <c r="H2" s="117">
        <v>26</v>
      </c>
      <c r="I2" s="117">
        <v>1204.7</v>
      </c>
      <c r="J2" s="117">
        <v>25618</v>
      </c>
      <c r="K2" s="117">
        <v>5</v>
      </c>
      <c r="N2" s="117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2">
      <c r="A3" s="117" t="s">
        <v>43</v>
      </c>
      <c r="B3" s="117">
        <f>ACOS(1)</f>
        <v>0</v>
      </c>
      <c r="C3" s="117">
        <v>0</v>
      </c>
      <c r="D3" s="117">
        <f t="shared" si="0"/>
        <v>1</v>
      </c>
      <c r="G3" s="117" t="s">
        <v>44</v>
      </c>
      <c r="H3" s="117">
        <v>13</v>
      </c>
      <c r="I3" s="117">
        <v>500.9</v>
      </c>
      <c r="J3" s="117">
        <v>23000</v>
      </c>
      <c r="K3" s="117">
        <v>7</v>
      </c>
      <c r="N3" s="117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2">
      <c r="A4" s="117" t="s">
        <v>45</v>
      </c>
      <c r="B4" s="117">
        <f>ROUND(ACOSH(2),5)</f>
        <v>1.3169599999999999</v>
      </c>
      <c r="C4" s="117">
        <v>1.3169599999999999</v>
      </c>
      <c r="D4" s="117">
        <f t="shared" si="0"/>
        <v>1</v>
      </c>
      <c r="G4" s="117" t="s">
        <v>46</v>
      </c>
      <c r="H4" s="117">
        <v>26</v>
      </c>
      <c r="I4" s="117">
        <v>252.4</v>
      </c>
      <c r="J4" s="117">
        <v>110120.5</v>
      </c>
      <c r="K4" s="117">
        <v>3</v>
      </c>
      <c r="N4" s="117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2">
      <c r="A5" s="117" t="s">
        <v>47</v>
      </c>
      <c r="B5" s="117">
        <f>ROUND(_xlfn.ACOT(1),5)</f>
        <v>0.78539999999999999</v>
      </c>
      <c r="C5" s="117">
        <v>0.78539999999999999</v>
      </c>
      <c r="D5" s="117">
        <f t="shared" si="0"/>
        <v>1</v>
      </c>
      <c r="G5" s="117" t="s">
        <v>48</v>
      </c>
      <c r="H5" s="117">
        <v>42</v>
      </c>
      <c r="I5" s="117">
        <v>4701.3</v>
      </c>
      <c r="J5" s="117">
        <v>50024</v>
      </c>
      <c r="K5" s="117">
        <v>4</v>
      </c>
      <c r="N5" s="117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2">
      <c r="A6" s="117" t="s">
        <v>49</v>
      </c>
      <c r="B6" s="117">
        <f>ROUND(_xlfn.ACOTH(2),5)</f>
        <v>0.54930999999999996</v>
      </c>
      <c r="C6" s="117">
        <v>0.54930999999999996</v>
      </c>
      <c r="D6" s="117">
        <f>IF(B6=C6,1,0)</f>
        <v>1</v>
      </c>
      <c r="G6" s="117" t="s">
        <v>50</v>
      </c>
      <c r="H6" s="117">
        <v>9</v>
      </c>
      <c r="I6" s="117">
        <v>12.1</v>
      </c>
      <c r="J6" s="117">
        <v>2</v>
      </c>
      <c r="K6" s="117">
        <v>1000</v>
      </c>
      <c r="N6" s="117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2">
      <c r="A7" s="117" t="s">
        <v>52</v>
      </c>
      <c r="B7" s="117" t="b">
        <f>AND(TRUE,TRUE)</f>
        <v>1</v>
      </c>
      <c r="C7" s="117" t="b">
        <v>1</v>
      </c>
      <c r="D7" s="117">
        <f t="shared" si="0"/>
        <v>1</v>
      </c>
      <c r="G7" s="117" t="s">
        <v>53</v>
      </c>
      <c r="H7" s="117">
        <v>27</v>
      </c>
      <c r="I7" s="117">
        <v>4000</v>
      </c>
      <c r="J7" s="117">
        <v>189576</v>
      </c>
      <c r="K7" s="117">
        <v>2</v>
      </c>
      <c r="N7" s="117" t="b">
        <v>1</v>
      </c>
    </row>
    <row r="8" spans="1:18" ht="17.25" customHeight="1" x14ac:dyDescent="0.2">
      <c r="A8" s="117" t="s">
        <v>54</v>
      </c>
      <c r="B8" s="117">
        <f>ROUND(ASIN(0.5),5)</f>
        <v>0.52359999999999995</v>
      </c>
      <c r="C8" s="117">
        <v>0.52359999999999995</v>
      </c>
      <c r="D8" s="117">
        <f t="shared" si="0"/>
        <v>1</v>
      </c>
      <c r="G8" s="117" t="s">
        <v>55</v>
      </c>
      <c r="H8" s="117">
        <v>30</v>
      </c>
      <c r="I8" s="117">
        <v>12052</v>
      </c>
      <c r="J8" s="117">
        <v>256018</v>
      </c>
      <c r="K8" s="117">
        <v>1</v>
      </c>
      <c r="N8" s="117" t="b">
        <v>0</v>
      </c>
    </row>
    <row r="9" spans="1:18" ht="17.25" customHeight="1" x14ac:dyDescent="0.2">
      <c r="A9" s="117" t="s">
        <v>56</v>
      </c>
      <c r="B9" s="117">
        <f>ROUND(ASINH(2),5)</f>
        <v>1.44364</v>
      </c>
      <c r="C9" s="117">
        <v>1.44364</v>
      </c>
      <c r="D9" s="117">
        <f t="shared" si="0"/>
        <v>1</v>
      </c>
      <c r="G9" s="117" t="s">
        <v>57</v>
      </c>
      <c r="H9" s="117">
        <v>37</v>
      </c>
      <c r="I9" s="117">
        <v>4890.1000000000004</v>
      </c>
      <c r="J9" s="117">
        <v>5000</v>
      </c>
      <c r="K9" s="117">
        <v>30</v>
      </c>
    </row>
    <row r="10" spans="1:18" ht="17.25" customHeight="1" x14ac:dyDescent="0.2">
      <c r="A10" s="117" t="s">
        <v>58</v>
      </c>
      <c r="B10" s="117">
        <f>ROUND(ATAN(1),5)</f>
        <v>0.78539999999999999</v>
      </c>
      <c r="C10" s="117">
        <v>0.78539999999999999</v>
      </c>
      <c r="D10" s="117">
        <f t="shared" si="0"/>
        <v>1</v>
      </c>
    </row>
    <row r="11" spans="1:18" ht="17.25" customHeight="1" x14ac:dyDescent="0.2">
      <c r="A11" s="117" t="s">
        <v>59</v>
      </c>
      <c r="B11" s="117">
        <f>ROUND(ATAN2(-1,0),5)</f>
        <v>3.1415899999999999</v>
      </c>
      <c r="C11" s="117">
        <v>3.1415899999999999</v>
      </c>
      <c r="D11" s="117">
        <f t="shared" si="0"/>
        <v>1</v>
      </c>
      <c r="G11" s="117" t="s">
        <v>60</v>
      </c>
    </row>
    <row r="12" spans="1:18" ht="17.25" customHeight="1" x14ac:dyDescent="0.2">
      <c r="A12" s="117" t="s">
        <v>61</v>
      </c>
      <c r="B12" s="117">
        <f>ROUND(ATANH(0.7),5)</f>
        <v>0.86729999999999996</v>
      </c>
      <c r="C12" s="117">
        <v>0.86729999999999996</v>
      </c>
      <c r="D12" s="117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 x14ac:dyDescent="0.2">
      <c r="A13" s="117" t="s">
        <v>62</v>
      </c>
      <c r="B13" s="117">
        <f>ROUND(AVEDEV(I2:I9),5)</f>
        <v>2959.1624999999999</v>
      </c>
      <c r="C13" s="117">
        <v>2959.1624999999999</v>
      </c>
      <c r="D13" s="117">
        <f t="shared" si="0"/>
        <v>1</v>
      </c>
      <c r="G13" s="117" t="s">
        <v>46</v>
      </c>
      <c r="H13" s="117" t="s">
        <v>63</v>
      </c>
      <c r="I13" s="117" t="s">
        <v>64</v>
      </c>
      <c r="J13" s="117" t="s">
        <v>65</v>
      </c>
      <c r="K13" s="117" t="s">
        <v>66</v>
      </c>
    </row>
    <row r="14" spans="1:18" ht="17.25" customHeight="1" x14ac:dyDescent="0.2">
      <c r="A14" s="117" t="s">
        <v>67</v>
      </c>
      <c r="B14" s="117">
        <f>ROUND(AVERAGE(H2:H9),5)</f>
        <v>26.25</v>
      </c>
      <c r="C14" s="117">
        <v>26.25</v>
      </c>
      <c r="D14" s="117">
        <f t="shared" si="0"/>
        <v>1</v>
      </c>
    </row>
    <row r="15" spans="1:18" ht="17.25" customHeight="1" x14ac:dyDescent="0.2">
      <c r="A15" s="117" t="s">
        <v>68</v>
      </c>
      <c r="B15" s="117">
        <f>AVERAGEA(G2:H9)</f>
        <v>13.125</v>
      </c>
      <c r="C15" s="117">
        <v>13.125</v>
      </c>
      <c r="D15" s="117">
        <f t="shared" si="0"/>
        <v>1</v>
      </c>
    </row>
    <row r="16" spans="1:18" ht="17.25" customHeight="1" x14ac:dyDescent="0.2">
      <c r="A16" s="117" t="s">
        <v>69</v>
      </c>
      <c r="B16" s="117">
        <f>ROUND(AVERAGEIF(J2:J9,"&gt;150000"),5)</f>
        <v>222797</v>
      </c>
      <c r="C16" s="117">
        <v>222797</v>
      </c>
      <c r="D16" s="117">
        <f t="shared" si="0"/>
        <v>1</v>
      </c>
    </row>
    <row r="17" spans="1:4" ht="17.25" customHeight="1" x14ac:dyDescent="0.2">
      <c r="A17" s="117" t="s">
        <v>70</v>
      </c>
      <c r="B17" s="117">
        <f>ROUND(AVERAGEIFS(I2:I9,H2:H9,"&gt;=30",K2:K9,"&lt;10"),5)</f>
        <v>8376.65</v>
      </c>
      <c r="C17" s="117">
        <v>8376.65</v>
      </c>
      <c r="D17" s="117">
        <f t="shared" si="0"/>
        <v>1</v>
      </c>
    </row>
    <row r="18" spans="1:4" ht="17.25" customHeight="1" x14ac:dyDescent="0.2">
      <c r="A18" s="117" t="s">
        <v>71</v>
      </c>
      <c r="B18" s="117">
        <f>CEILING(20.4,1)</f>
        <v>21</v>
      </c>
      <c r="C18" s="117">
        <v>21</v>
      </c>
      <c r="D18" s="117">
        <f t="shared" si="0"/>
        <v>1</v>
      </c>
    </row>
    <row r="19" spans="1:4" ht="17.25" customHeight="1" x14ac:dyDescent="0.2">
      <c r="A19" s="117" t="s">
        <v>72</v>
      </c>
      <c r="B19" s="117">
        <f>_xlfn.CEILING.MATH(-5.5,1,0)</f>
        <v>-5</v>
      </c>
      <c r="C19" s="117">
        <v>-5</v>
      </c>
      <c r="D19" s="117">
        <f t="shared" si="0"/>
        <v>1</v>
      </c>
    </row>
    <row r="20" spans="1:4" ht="17.25" customHeight="1" x14ac:dyDescent="0.2">
      <c r="A20" s="117" t="s">
        <v>73</v>
      </c>
      <c r="B20" s="117">
        <f>_xlfn.CEILING.PRECISE(230,100)</f>
        <v>300</v>
      </c>
      <c r="C20" s="117">
        <v>300</v>
      </c>
      <c r="D20" s="117">
        <f t="shared" si="0"/>
        <v>1</v>
      </c>
    </row>
    <row r="21" spans="1:4" ht="17.25" customHeight="1" x14ac:dyDescent="0.2">
      <c r="A21" s="117" t="s">
        <v>74</v>
      </c>
      <c r="B21" s="117" t="str">
        <f>CHAR(74)</f>
        <v>J</v>
      </c>
      <c r="C21" s="117" t="s">
        <v>75</v>
      </c>
      <c r="D21" s="117">
        <f t="shared" si="0"/>
        <v>1</v>
      </c>
    </row>
    <row r="22" spans="1:4" ht="17.25" customHeight="1" x14ac:dyDescent="0.2">
      <c r="A22" s="117" t="s">
        <v>76</v>
      </c>
      <c r="B22" s="117">
        <f>COLUMN(C4)</f>
        <v>3</v>
      </c>
      <c r="C22" s="117">
        <v>3</v>
      </c>
      <c r="D22" s="117">
        <f t="shared" si="0"/>
        <v>1</v>
      </c>
    </row>
    <row r="23" spans="1:4" ht="17.25" customHeight="1" x14ac:dyDescent="0.2">
      <c r="A23" s="117" t="s">
        <v>77</v>
      </c>
      <c r="B23" s="117">
        <f>COLUMNS(A5:D12)</f>
        <v>4</v>
      </c>
      <c r="C23" s="117">
        <v>4</v>
      </c>
      <c r="D23" s="117">
        <f t="shared" si="0"/>
        <v>1</v>
      </c>
    </row>
    <row r="24" spans="1:4" ht="17.25" customHeight="1" x14ac:dyDescent="0.2">
      <c r="A24" s="117" t="s">
        <v>78</v>
      </c>
      <c r="B24" s="117" t="str">
        <f>_xlfn.CONCAT(1,23)</f>
        <v>123</v>
      </c>
      <c r="C24" s="117" t="str">
        <f>"123"</f>
        <v>123</v>
      </c>
      <c r="D24" s="117">
        <f t="shared" si="0"/>
        <v>1</v>
      </c>
    </row>
    <row r="25" spans="1:4" ht="17.25" customHeight="1" x14ac:dyDescent="0.2">
      <c r="A25" s="117" t="s">
        <v>79</v>
      </c>
      <c r="B25" s="117" t="str">
        <f>CONCATENATE("BUT, ","MICHEL")</f>
        <v>BUT, MICHEL</v>
      </c>
      <c r="C25" s="117" t="s">
        <v>80</v>
      </c>
      <c r="D25" s="117">
        <f t="shared" si="0"/>
        <v>1</v>
      </c>
    </row>
    <row r="26" spans="1:4" ht="17.25" customHeight="1" x14ac:dyDescent="0.2">
      <c r="A26" s="117" t="s">
        <v>81</v>
      </c>
      <c r="B26" s="117">
        <f>ROUND(COS(PI()/3),2)</f>
        <v>0.5</v>
      </c>
      <c r="C26" s="117">
        <v>0.5</v>
      </c>
      <c r="D26" s="117">
        <f t="shared" si="0"/>
        <v>1</v>
      </c>
    </row>
    <row r="27" spans="1:4" ht="17.25" customHeight="1" x14ac:dyDescent="0.2">
      <c r="A27" s="117" t="s">
        <v>82</v>
      </c>
      <c r="B27" s="117">
        <f>ROUND(COSH(2),5)</f>
        <v>3.7622</v>
      </c>
      <c r="C27" s="117">
        <v>3.7622</v>
      </c>
      <c r="D27" s="117">
        <f t="shared" si="0"/>
        <v>1</v>
      </c>
    </row>
    <row r="28" spans="1:4" ht="17.25" customHeight="1" x14ac:dyDescent="0.2">
      <c r="A28" s="117" t="s">
        <v>83</v>
      </c>
      <c r="B28" s="117">
        <f>ROUND(_xlfn.COT(PI()/6),5)</f>
        <v>1.7320500000000001</v>
      </c>
      <c r="C28" s="117">
        <f>ROUND(SQRT(3),5)</f>
        <v>1.7320500000000001</v>
      </c>
      <c r="D28" s="117">
        <f t="shared" si="0"/>
        <v>1</v>
      </c>
    </row>
    <row r="29" spans="1:4" ht="17.25" customHeight="1" x14ac:dyDescent="0.2">
      <c r="A29" s="117" t="s">
        <v>84</v>
      </c>
      <c r="B29" s="117">
        <f>ROUND(_xlfn.COTH(0.5),5)</f>
        <v>2.1639499999999998</v>
      </c>
      <c r="C29" s="117">
        <v>2.1639499999999998</v>
      </c>
      <c r="D29" s="117">
        <f t="shared" si="0"/>
        <v>1</v>
      </c>
    </row>
    <row r="30" spans="1:4" ht="17.25" customHeight="1" x14ac:dyDescent="0.2">
      <c r="A30" s="117" t="s">
        <v>85</v>
      </c>
      <c r="B30" s="117">
        <f>COUNT(1,"a","5","2021-03-14")</f>
        <v>3</v>
      </c>
      <c r="C30" s="117">
        <v>2</v>
      </c>
      <c r="D30" s="117">
        <f t="shared" si="0"/>
        <v>0</v>
      </c>
    </row>
    <row r="31" spans="1:4" ht="17.25" customHeight="1" x14ac:dyDescent="0.2">
      <c r="A31" s="117" t="s">
        <v>86</v>
      </c>
      <c r="B31" s="117">
        <f>COUNTA(1,"a","5","2021-03-14")</f>
        <v>4</v>
      </c>
      <c r="C31" s="117">
        <v>4</v>
      </c>
      <c r="D31" s="117">
        <f t="shared" si="0"/>
        <v>1</v>
      </c>
    </row>
    <row r="32" spans="1:4" ht="17.25" customHeight="1" x14ac:dyDescent="0.2">
      <c r="A32" s="117" t="s">
        <v>87</v>
      </c>
      <c r="B32" s="117">
        <f>COUNTBLANK(F1:G1)</f>
        <v>1</v>
      </c>
      <c r="C32" s="117">
        <v>1</v>
      </c>
      <c r="D32" s="117">
        <f t="shared" si="0"/>
        <v>1</v>
      </c>
    </row>
    <row r="33" spans="1:4" ht="17.25" customHeight="1" x14ac:dyDescent="0.2">
      <c r="A33" s="117" t="s">
        <v>88</v>
      </c>
      <c r="B33" s="117">
        <f>COUNTIF(H2:H9,"&gt;30")</f>
        <v>2</v>
      </c>
      <c r="C33" s="117">
        <v>2</v>
      </c>
      <c r="D33" s="117">
        <f t="shared" si="0"/>
        <v>1</v>
      </c>
    </row>
    <row r="34" spans="1:4" ht="17.25" customHeight="1" x14ac:dyDescent="0.2">
      <c r="A34" s="117" t="s">
        <v>89</v>
      </c>
      <c r="B34" s="117">
        <f>COUNTIFS(H2:H9,"&gt;25",K2:K9,"&lt;4")</f>
        <v>3</v>
      </c>
      <c r="C34" s="117">
        <v>3</v>
      </c>
      <c r="D34" s="117">
        <f t="shared" ref="D34:D65" si="4">IF(B34=C34,1,0)</f>
        <v>1</v>
      </c>
    </row>
    <row r="35" spans="1:4" ht="17.25" customHeight="1" x14ac:dyDescent="0.2">
      <c r="A35" s="117" t="s">
        <v>90</v>
      </c>
      <c r="B35" s="117">
        <f>ROUND(COVAR(H2:H9,K2:K9),5)</f>
        <v>-2119.25</v>
      </c>
      <c r="C35" s="117">
        <v>-2119.25</v>
      </c>
      <c r="D35" s="117">
        <f t="shared" si="4"/>
        <v>1</v>
      </c>
    </row>
    <row r="36" spans="1:4" ht="17.25" customHeight="1" x14ac:dyDescent="0.2">
      <c r="A36" s="117" t="s">
        <v>91</v>
      </c>
      <c r="B36" s="117">
        <f>ROUND(_xlfn.COVARIANCE.P(K2:K9,H2:H9),5)</f>
        <v>-2119.25</v>
      </c>
      <c r="C36" s="117">
        <v>-2119.25</v>
      </c>
      <c r="D36" s="117">
        <f t="shared" si="4"/>
        <v>1</v>
      </c>
    </row>
    <row r="37" spans="1:4" ht="17.25" customHeight="1" x14ac:dyDescent="0.2">
      <c r="A37" s="117" t="s">
        <v>92</v>
      </c>
      <c r="B37" s="117">
        <f>ROUND(_xlfn.COVARIANCE.P(I2:I9,J2:J9),5)</f>
        <v>237217364.71641001</v>
      </c>
      <c r="C37" s="117">
        <v>237217364.71641001</v>
      </c>
      <c r="D37" s="117">
        <f t="shared" si="4"/>
        <v>1</v>
      </c>
    </row>
    <row r="38" spans="1:4" ht="17.25" customHeight="1" x14ac:dyDescent="0.2">
      <c r="A38" s="117" t="s">
        <v>93</v>
      </c>
      <c r="B38" s="117">
        <f>ROUND(_xlfn.CSC(PI()/4),5)</f>
        <v>1.41421</v>
      </c>
      <c r="C38" s="117">
        <f>ROUND(SQRT(2),5)</f>
        <v>1.41421</v>
      </c>
      <c r="D38" s="117">
        <f t="shared" si="4"/>
        <v>1</v>
      </c>
    </row>
    <row r="39" spans="1:4" ht="17.25" customHeight="1" x14ac:dyDescent="0.2">
      <c r="A39" s="117" t="s">
        <v>94</v>
      </c>
      <c r="B39" s="117">
        <f>ROUND(_xlfn.CSCH(PI()/3),5)</f>
        <v>0.80040999999999995</v>
      </c>
      <c r="C39" s="117">
        <v>0.80040999999999995</v>
      </c>
      <c r="D39" s="117">
        <f t="shared" si="4"/>
        <v>1</v>
      </c>
    </row>
    <row r="40" spans="1:4" ht="17.25" customHeight="1" x14ac:dyDescent="0.2">
      <c r="A40" s="117" t="s">
        <v>95</v>
      </c>
      <c r="B40" s="18">
        <f>DATE(2020,5,25)</f>
        <v>43976</v>
      </c>
      <c r="C40" s="18">
        <v>43976</v>
      </c>
      <c r="D40" s="117">
        <f t="shared" si="4"/>
        <v>1</v>
      </c>
    </row>
    <row r="41" spans="1:4" ht="17.25" customHeight="1" x14ac:dyDescent="0.2">
      <c r="A41" s="117" t="s">
        <v>96</v>
      </c>
      <c r="B41" s="117">
        <f>DATEVALUE("1969-08-15")</f>
        <v>25430</v>
      </c>
      <c r="C41" s="117">
        <v>25430</v>
      </c>
      <c r="D41" s="117">
        <f t="shared" si="4"/>
        <v>1</v>
      </c>
    </row>
    <row r="42" spans="1:4" ht="17.25" customHeight="1" x14ac:dyDescent="0.2">
      <c r="A42" s="117" t="s">
        <v>97</v>
      </c>
      <c r="B42" s="117">
        <f>ROUND(DAVERAGE(G1:K9,"Tot. Score",J12:J13),5)</f>
        <v>151434.625</v>
      </c>
      <c r="C42" s="117">
        <v>151434.625</v>
      </c>
      <c r="D42" s="117">
        <f t="shared" si="4"/>
        <v>1</v>
      </c>
    </row>
    <row r="43" spans="1:4" ht="17.25" customHeight="1" x14ac:dyDescent="0.2">
      <c r="A43" s="117" t="s">
        <v>98</v>
      </c>
      <c r="B43" s="117">
        <f>DAY("2020-03-17")</f>
        <v>17</v>
      </c>
      <c r="C43" s="117">
        <v>17</v>
      </c>
      <c r="D43" s="117">
        <f t="shared" si="4"/>
        <v>1</v>
      </c>
    </row>
    <row r="44" spans="1:4" ht="17.25" customHeight="1" x14ac:dyDescent="0.2">
      <c r="A44" s="117" t="s">
        <v>99</v>
      </c>
      <c r="B44" s="117">
        <f>_xlfn.DAYS("2022-03-17","2021-03-17")</f>
        <v>365</v>
      </c>
      <c r="C44" s="117">
        <v>365</v>
      </c>
      <c r="D44" s="117">
        <f t="shared" si="4"/>
        <v>1</v>
      </c>
    </row>
    <row r="45" spans="1:4" ht="17.25" customHeight="1" x14ac:dyDescent="0.2">
      <c r="A45" s="117" t="s">
        <v>100</v>
      </c>
      <c r="B45" s="117">
        <f>DCOUNT(G1:K9,"Name",H12:H13)</f>
        <v>0</v>
      </c>
      <c r="C45" s="117">
        <v>0</v>
      </c>
      <c r="D45" s="117">
        <f t="shared" si="4"/>
        <v>1</v>
      </c>
    </row>
    <row r="46" spans="1:4" ht="17.25" customHeight="1" x14ac:dyDescent="0.2">
      <c r="A46" s="117" t="s">
        <v>101</v>
      </c>
      <c r="B46" s="117">
        <f>DCOUNTA(G1:K9,"Name",H12:H13)</f>
        <v>3</v>
      </c>
      <c r="C46" s="117">
        <v>3</v>
      </c>
      <c r="D46" s="117">
        <f t="shared" si="4"/>
        <v>1</v>
      </c>
    </row>
    <row r="47" spans="1:4" ht="17.25" customHeight="1" x14ac:dyDescent="0.2">
      <c r="A47" s="117" t="s">
        <v>102</v>
      </c>
      <c r="B47" s="117">
        <f>_xlfn.DECIMAL(20,16)</f>
        <v>32</v>
      </c>
      <c r="C47" s="117">
        <v>32</v>
      </c>
      <c r="D47" s="117">
        <f t="shared" si="4"/>
        <v>1</v>
      </c>
    </row>
    <row r="48" spans="1:4" ht="17.25" customHeight="1" x14ac:dyDescent="0.2">
      <c r="A48" s="117" t="s">
        <v>103</v>
      </c>
      <c r="B48" s="117">
        <f>DEGREES(PI()/4)</f>
        <v>45</v>
      </c>
      <c r="C48" s="117">
        <v>45</v>
      </c>
      <c r="D48" s="117">
        <f t="shared" si="4"/>
        <v>1</v>
      </c>
    </row>
    <row r="49" spans="1:4" ht="17.25" customHeight="1" x14ac:dyDescent="0.2">
      <c r="A49" s="117" t="s">
        <v>104</v>
      </c>
      <c r="B49" s="117">
        <f>DGET(G1:K9,"Hours Played",G12:G13)</f>
        <v>252.4</v>
      </c>
      <c r="C49" s="117">
        <v>252.4</v>
      </c>
      <c r="D49" s="117">
        <f t="shared" si="4"/>
        <v>1</v>
      </c>
    </row>
    <row r="50" spans="1:4" ht="17.25" customHeight="1" x14ac:dyDescent="0.2">
      <c r="A50" s="117" t="s">
        <v>105</v>
      </c>
      <c r="B50" s="117">
        <f>DMAX(G1:K9,"Tot. Score",I12:I13)</f>
        <v>189576</v>
      </c>
      <c r="C50" s="117">
        <f>J7</f>
        <v>189576</v>
      </c>
      <c r="D50" s="117">
        <f t="shared" si="4"/>
        <v>1</v>
      </c>
    </row>
    <row r="51" spans="1:4" ht="17.25" customHeight="1" x14ac:dyDescent="0.2">
      <c r="A51" s="117" t="s">
        <v>106</v>
      </c>
      <c r="B51" s="117">
        <f>DMIN(G1:K9,"Tot. Score",H12:H13)</f>
        <v>5000</v>
      </c>
      <c r="C51" s="117">
        <f>J9</f>
        <v>5000</v>
      </c>
      <c r="D51" s="117">
        <f t="shared" si="4"/>
        <v>1</v>
      </c>
    </row>
    <row r="52" spans="1:4" ht="17.25" customHeight="1" x14ac:dyDescent="0.2">
      <c r="A52" s="117" t="s">
        <v>107</v>
      </c>
      <c r="B52" s="117">
        <f>DPRODUCT(G1:K9,"Age",K12:K13)</f>
        <v>333</v>
      </c>
      <c r="C52" s="117">
        <v>333</v>
      </c>
      <c r="D52" s="117">
        <f t="shared" si="4"/>
        <v>1</v>
      </c>
    </row>
    <row r="53" spans="1:4" ht="17.25" customHeight="1" x14ac:dyDescent="0.2">
      <c r="A53" s="117" t="s">
        <v>108</v>
      </c>
      <c r="B53" s="117">
        <f>ROUND(DSTDEV(G1:K9,"Age",H12:H13),5)</f>
        <v>6.0277099999999999</v>
      </c>
      <c r="C53" s="117">
        <v>6.0277099999999999</v>
      </c>
      <c r="D53" s="117">
        <f t="shared" si="4"/>
        <v>1</v>
      </c>
    </row>
    <row r="54" spans="1:4" ht="17.25" customHeight="1" x14ac:dyDescent="0.2">
      <c r="A54" s="117" t="s">
        <v>109</v>
      </c>
      <c r="B54" s="117">
        <f>ROUND(DSTDEVP(G1:K9,"Age",H12:H13),5)</f>
        <v>4.9216100000000003</v>
      </c>
      <c r="C54" s="117">
        <v>4.9216100000000003</v>
      </c>
      <c r="D54" s="117">
        <f t="shared" si="4"/>
        <v>1</v>
      </c>
    </row>
    <row r="55" spans="1:4" ht="17.25" customHeight="1" x14ac:dyDescent="0.2">
      <c r="A55" s="117" t="s">
        <v>110</v>
      </c>
      <c r="B55" s="117">
        <f>DSUM(G1:K9,"Age",I12:I13)</f>
        <v>101</v>
      </c>
      <c r="C55" s="117">
        <v>101</v>
      </c>
      <c r="D55" s="117">
        <f t="shared" si="4"/>
        <v>1</v>
      </c>
    </row>
    <row r="56" spans="1:4" ht="17.25" customHeight="1" x14ac:dyDescent="0.2">
      <c r="A56" s="117" t="s">
        <v>111</v>
      </c>
      <c r="B56" s="117">
        <f>ROUND(DVAR(G1:K9,"Hours Played",H12:H13),5)</f>
        <v>17560207.923330002</v>
      </c>
      <c r="C56" s="117">
        <v>17560207.923330002</v>
      </c>
      <c r="D56" s="117">
        <f t="shared" si="4"/>
        <v>1</v>
      </c>
    </row>
    <row r="57" spans="1:4" ht="17.25" customHeight="1" x14ac:dyDescent="0.2">
      <c r="A57" s="117" t="s">
        <v>112</v>
      </c>
      <c r="B57" s="117">
        <f>ROUND(DVARP(G1:K9,"Hours Played",H12:H13),5)</f>
        <v>11706805.28222</v>
      </c>
      <c r="C57" s="117">
        <v>11706805.28222</v>
      </c>
      <c r="D57" s="117">
        <f t="shared" si="4"/>
        <v>1</v>
      </c>
    </row>
    <row r="58" spans="1:4" ht="17.25" customHeight="1" x14ac:dyDescent="0.2">
      <c r="A58" s="117" t="s">
        <v>113</v>
      </c>
      <c r="B58" s="18">
        <f>EDATE("1969-07-22",-2)</f>
        <v>25345</v>
      </c>
      <c r="C58" s="18">
        <v>25345</v>
      </c>
      <c r="D58" s="117">
        <f t="shared" si="4"/>
        <v>1</v>
      </c>
    </row>
    <row r="59" spans="1:4" ht="17.25" customHeight="1" x14ac:dyDescent="0.2">
      <c r="A59" s="117" t="s">
        <v>114</v>
      </c>
      <c r="B59" s="18">
        <f>EOMONTH("2020-07-21",1)</f>
        <v>44074</v>
      </c>
      <c r="C59" s="18">
        <v>44074</v>
      </c>
      <c r="D59" s="117">
        <f t="shared" si="4"/>
        <v>1</v>
      </c>
    </row>
    <row r="60" spans="1:4" ht="17.25" customHeight="1" x14ac:dyDescent="0.2">
      <c r="A60" s="117" t="s">
        <v>115</v>
      </c>
      <c r="B60" s="117" t="b">
        <f>EXACT("AbsSdf%","AbsSdf%")</f>
        <v>1</v>
      </c>
      <c r="C60" s="117" t="b">
        <v>1</v>
      </c>
      <c r="D60" s="117">
        <f t="shared" si="4"/>
        <v>1</v>
      </c>
    </row>
    <row r="61" spans="1:4" ht="17.25" customHeight="1" x14ac:dyDescent="0.2">
      <c r="A61" s="117" t="s">
        <v>116</v>
      </c>
      <c r="B61" s="117">
        <f>ROUND(EXP(4),5)</f>
        <v>54.598149999999997</v>
      </c>
      <c r="C61" s="117">
        <v>54.598149999999997</v>
      </c>
      <c r="D61" s="117">
        <f t="shared" si="4"/>
        <v>1</v>
      </c>
    </row>
    <row r="62" spans="1:4" ht="17.25" customHeight="1" x14ac:dyDescent="0.2">
      <c r="A62" s="117" t="s">
        <v>117</v>
      </c>
      <c r="B62" s="117">
        <f>FIND("A","qbdahbaazo A")</f>
        <v>12</v>
      </c>
      <c r="C62" s="117">
        <v>12</v>
      </c>
      <c r="D62" s="117">
        <f t="shared" si="4"/>
        <v>1</v>
      </c>
    </row>
    <row r="63" spans="1:4" ht="17.25" customHeight="1" x14ac:dyDescent="0.2">
      <c r="A63" s="117" t="s">
        <v>118</v>
      </c>
      <c r="B63" s="117">
        <f>FLOOR(5.5,2)</f>
        <v>4</v>
      </c>
      <c r="C63" s="117">
        <v>4</v>
      </c>
      <c r="D63" s="117">
        <f t="shared" si="4"/>
        <v>1</v>
      </c>
    </row>
    <row r="64" spans="1:4" ht="17.25" customHeight="1" x14ac:dyDescent="0.2">
      <c r="A64" s="117" t="s">
        <v>119</v>
      </c>
      <c r="B64" s="117">
        <f>_xlfn.FLOOR.MATH(-5.55,2,1)</f>
        <v>-4</v>
      </c>
      <c r="C64" s="117">
        <v>-4</v>
      </c>
      <c r="D64" s="117">
        <f t="shared" si="4"/>
        <v>1</v>
      </c>
    </row>
    <row r="65" spans="1:4" ht="17.25" customHeight="1" x14ac:dyDescent="0.2">
      <c r="A65" s="117" t="s">
        <v>120</v>
      </c>
      <c r="B65" s="117">
        <f>_xlfn.FLOOR.PRECISE(199,100)</f>
        <v>100</v>
      </c>
      <c r="C65" s="117">
        <v>100</v>
      </c>
      <c r="D65" s="117">
        <f t="shared" si="4"/>
        <v>1</v>
      </c>
    </row>
    <row r="66" spans="1:4" ht="17.25" customHeight="1" x14ac:dyDescent="0.2">
      <c r="A66" s="117" t="s">
        <v>121</v>
      </c>
      <c r="B66" s="117">
        <f>HLOOKUP("Tot. Score",H1:K9,4,FALSE)</f>
        <v>110120.5</v>
      </c>
      <c r="C66" s="117">
        <v>110120.5</v>
      </c>
      <c r="D66" s="117">
        <f t="shared" ref="D66:D97" si="5">IF(B66=C66,1,0)</f>
        <v>1</v>
      </c>
    </row>
    <row r="67" spans="1:4" ht="17.25" customHeight="1" x14ac:dyDescent="0.2">
      <c r="A67" s="117" t="s">
        <v>122</v>
      </c>
      <c r="B67" s="117">
        <f>HOUR("02:14:56")</f>
        <v>2</v>
      </c>
      <c r="C67" s="117">
        <v>2</v>
      </c>
      <c r="D67" s="117">
        <f t="shared" si="5"/>
        <v>1</v>
      </c>
    </row>
    <row r="68" spans="1:4" ht="17.25" customHeight="1" x14ac:dyDescent="0.2">
      <c r="A68" s="117" t="s">
        <v>123</v>
      </c>
      <c r="B68" s="117" t="str">
        <f>IF(TRUE,"TABOURET","JAMBON")</f>
        <v>TABOURET</v>
      </c>
      <c r="C68" s="117" t="s">
        <v>124</v>
      </c>
      <c r="D68" s="117">
        <f t="shared" si="5"/>
        <v>1</v>
      </c>
    </row>
    <row r="69" spans="1:4" ht="17.25" customHeight="1" x14ac:dyDescent="0.2">
      <c r="A69" s="117" t="s">
        <v>125</v>
      </c>
      <c r="B69" s="117" t="str">
        <f>IFERROR(0/0,"no diving by zero.")</f>
        <v>no diving by zero.</v>
      </c>
      <c r="C69" s="117" t="s">
        <v>126</v>
      </c>
      <c r="D69" s="117">
        <f t="shared" si="5"/>
        <v>1</v>
      </c>
    </row>
    <row r="70" spans="1:4" ht="17.25" customHeight="1" x14ac:dyDescent="0.2">
      <c r="A70" s="117" t="s">
        <v>127</v>
      </c>
      <c r="B70" s="117" t="str">
        <f>_xlfn.IFS($H2&gt;$H3,"first player is older",$H3&gt;$H2,"second player is older")</f>
        <v>first player is older</v>
      </c>
      <c r="C70" s="117" t="s">
        <v>128</v>
      </c>
      <c r="D70" s="117">
        <f t="shared" si="5"/>
        <v>1</v>
      </c>
    </row>
    <row r="71" spans="1:4" ht="17.25" customHeight="1" x14ac:dyDescent="0.2">
      <c r="A71" s="117" t="s">
        <v>129</v>
      </c>
      <c r="B71" s="117" t="b">
        <f>ISERROR(0/0)</f>
        <v>1</v>
      </c>
      <c r="C71" s="117" t="b">
        <v>1</v>
      </c>
      <c r="D71" s="117">
        <f t="shared" si="5"/>
        <v>1</v>
      </c>
    </row>
    <row r="72" spans="1:4" ht="17.25" customHeight="1" x14ac:dyDescent="0.2">
      <c r="A72" s="117" t="s">
        <v>130</v>
      </c>
      <c r="B72" s="117" t="b">
        <f>ISEVEN(3)</f>
        <v>0</v>
      </c>
      <c r="C72" s="117" t="b">
        <v>0</v>
      </c>
      <c r="D72" s="117">
        <f t="shared" si="5"/>
        <v>1</v>
      </c>
    </row>
    <row r="73" spans="1:4" ht="17.25" customHeight="1" x14ac:dyDescent="0.2">
      <c r="A73" s="117" t="s">
        <v>131</v>
      </c>
      <c r="B73" s="117" t="b">
        <f>ISLOGICAL("TRUE")</f>
        <v>0</v>
      </c>
      <c r="C73" s="117" t="b">
        <v>0</v>
      </c>
      <c r="D73" s="117">
        <f t="shared" si="5"/>
        <v>1</v>
      </c>
    </row>
    <row r="74" spans="1:4" ht="17.25" customHeight="1" x14ac:dyDescent="0.2">
      <c r="A74" s="117" t="s">
        <v>132</v>
      </c>
      <c r="B74" s="117" t="b">
        <f>ISNONTEXT(TRUE)</f>
        <v>1</v>
      </c>
      <c r="C74" s="117" t="b">
        <v>1</v>
      </c>
      <c r="D74" s="117">
        <f t="shared" si="5"/>
        <v>1</v>
      </c>
    </row>
    <row r="75" spans="1:4" ht="17.25" customHeight="1" x14ac:dyDescent="0.2">
      <c r="A75" s="117" t="s">
        <v>133</v>
      </c>
      <c r="B75" s="117" t="b">
        <f>ISNUMBER(1231.5)</f>
        <v>1</v>
      </c>
      <c r="C75" s="117" t="b">
        <v>1</v>
      </c>
      <c r="D75" s="117">
        <f t="shared" si="5"/>
        <v>1</v>
      </c>
    </row>
    <row r="76" spans="1:4" ht="17.25" customHeight="1" x14ac:dyDescent="0.2">
      <c r="A76" s="117" t="s">
        <v>134</v>
      </c>
      <c r="B76" s="117">
        <f>ISO.CEILING(-7.89)</f>
        <v>-7</v>
      </c>
      <c r="C76" s="117">
        <v>-7</v>
      </c>
      <c r="D76" s="117">
        <f t="shared" si="5"/>
        <v>1</v>
      </c>
    </row>
    <row r="77" spans="1:4" ht="17.25" customHeight="1" x14ac:dyDescent="0.2">
      <c r="A77" s="117" t="s">
        <v>135</v>
      </c>
      <c r="B77" s="117" t="b">
        <f>ISODD(4)</f>
        <v>0</v>
      </c>
      <c r="C77" s="117" t="b">
        <v>0</v>
      </c>
      <c r="D77" s="117">
        <f t="shared" si="5"/>
        <v>1</v>
      </c>
    </row>
    <row r="78" spans="1:4" ht="17.25" customHeight="1" x14ac:dyDescent="0.2">
      <c r="A78" s="117" t="s">
        <v>136</v>
      </c>
      <c r="B78" s="117">
        <f>_xlfn.ISOWEEKNUM("2016-01-03")</f>
        <v>53</v>
      </c>
      <c r="C78" s="117">
        <v>53</v>
      </c>
      <c r="D78" s="117">
        <f t="shared" si="5"/>
        <v>1</v>
      </c>
    </row>
    <row r="79" spans="1:4" ht="17.25" customHeight="1" x14ac:dyDescent="0.2">
      <c r="A79" s="117" t="s">
        <v>137</v>
      </c>
      <c r="B79" s="117" t="b">
        <f>ISTEXT("123")</f>
        <v>1</v>
      </c>
      <c r="C79" s="117" t="b">
        <v>1</v>
      </c>
      <c r="D79" s="117">
        <f t="shared" si="5"/>
        <v>1</v>
      </c>
    </row>
    <row r="80" spans="1:4" ht="17.25" customHeight="1" x14ac:dyDescent="0.2">
      <c r="A80" s="117" t="s">
        <v>138</v>
      </c>
      <c r="B80" s="117">
        <f>LARGE(H2:H9,3)</f>
        <v>30</v>
      </c>
      <c r="C80" s="117">
        <v>30</v>
      </c>
      <c r="D80" s="117">
        <f t="shared" si="5"/>
        <v>1</v>
      </c>
    </row>
    <row r="81" spans="1:4" ht="17.25" customHeight="1" x14ac:dyDescent="0.2">
      <c r="A81" s="117" t="s">
        <v>139</v>
      </c>
      <c r="B81" s="117" t="str">
        <f>LEFT("Mich",4)</f>
        <v>Mich</v>
      </c>
      <c r="C81" s="117" t="s">
        <v>140</v>
      </c>
      <c r="D81" s="117">
        <f t="shared" si="5"/>
        <v>1</v>
      </c>
    </row>
    <row r="82" spans="1:4" ht="17.25" customHeight="1" x14ac:dyDescent="0.2">
      <c r="A82" s="117" t="s">
        <v>141</v>
      </c>
      <c r="B82" s="117">
        <f>LEN("anticonstitutionnellement")</f>
        <v>25</v>
      </c>
      <c r="C82" s="117">
        <v>25</v>
      </c>
      <c r="D82" s="117">
        <f t="shared" si="5"/>
        <v>1</v>
      </c>
    </row>
    <row r="83" spans="1:4" ht="17.25" customHeight="1" x14ac:dyDescent="0.2">
      <c r="A83" s="117" t="s">
        <v>142</v>
      </c>
      <c r="B83" s="117">
        <f>ROUND(LN(2),5)</f>
        <v>0.69315000000000004</v>
      </c>
      <c r="C83" s="117">
        <v>0.69315000000000004</v>
      </c>
      <c r="D83" s="117">
        <f t="shared" si="5"/>
        <v>1</v>
      </c>
    </row>
    <row r="84" spans="1:4" ht="17.25" customHeight="1" x14ac:dyDescent="0.2">
      <c r="A84" s="117" t="s">
        <v>143</v>
      </c>
      <c r="B84" s="117">
        <f>LOOKUP(23000,H3:J3,H5:J5)</f>
        <v>50024</v>
      </c>
      <c r="C84" s="117">
        <v>50024</v>
      </c>
      <c r="D84" s="117">
        <f t="shared" si="5"/>
        <v>1</v>
      </c>
    </row>
    <row r="85" spans="1:4" ht="17.25" customHeight="1" x14ac:dyDescent="0.2">
      <c r="A85" s="117" t="s">
        <v>144</v>
      </c>
      <c r="B85" s="117" t="str">
        <f>LOWER("オAドB")</f>
        <v>オaドb</v>
      </c>
      <c r="C85" s="117" t="s">
        <v>145</v>
      </c>
      <c r="D85" s="117">
        <f t="shared" si="5"/>
        <v>1</v>
      </c>
    </row>
    <row r="86" spans="1:4" ht="17.25" customHeight="1" x14ac:dyDescent="0.2">
      <c r="A86" s="117" t="s">
        <v>146</v>
      </c>
      <c r="B86" s="117">
        <f>MATCH(42,H2:H9,0)</f>
        <v>4</v>
      </c>
      <c r="C86" s="117">
        <v>4</v>
      </c>
      <c r="D86" s="117">
        <f t="shared" si="5"/>
        <v>1</v>
      </c>
    </row>
    <row r="87" spans="1:4" ht="17.25" customHeight="1" x14ac:dyDescent="0.2">
      <c r="A87" s="117" t="s">
        <v>147</v>
      </c>
      <c r="B87" s="117">
        <f>MAX(N1:N8)</f>
        <v>0.6</v>
      </c>
      <c r="C87" s="117">
        <v>0.6</v>
      </c>
      <c r="D87" s="117">
        <f t="shared" si="5"/>
        <v>1</v>
      </c>
    </row>
    <row r="88" spans="1:4" ht="17.25" customHeight="1" x14ac:dyDescent="0.2">
      <c r="A88" s="117" t="s">
        <v>148</v>
      </c>
      <c r="B88" s="117">
        <f>MAXA(N1:N8)</f>
        <v>1</v>
      </c>
      <c r="C88" s="117">
        <v>1</v>
      </c>
      <c r="D88" s="117">
        <f t="shared" si="5"/>
        <v>1</v>
      </c>
    </row>
    <row r="89" spans="1:4" ht="17.25" customHeight="1" x14ac:dyDescent="0.2">
      <c r="A89" s="117" t="s">
        <v>149</v>
      </c>
      <c r="B89" s="117">
        <f>_xlfn.MAXIFS(H2:H9,K2:K9,"&lt;20",K2:K9,"&lt;&gt;4")</f>
        <v>30</v>
      </c>
      <c r="C89" s="117">
        <v>30</v>
      </c>
      <c r="D89" s="117">
        <f t="shared" si="5"/>
        <v>1</v>
      </c>
    </row>
    <row r="90" spans="1:4" ht="17.25" customHeight="1" x14ac:dyDescent="0.2">
      <c r="A90" s="117" t="s">
        <v>150</v>
      </c>
      <c r="B90" s="117">
        <f>MEDIAN(-1,6,7,234,163845)</f>
        <v>7</v>
      </c>
      <c r="C90" s="117">
        <v>7</v>
      </c>
      <c r="D90" s="117">
        <f t="shared" si="5"/>
        <v>1</v>
      </c>
    </row>
    <row r="91" spans="1:4" ht="17.25" customHeight="1" x14ac:dyDescent="0.2">
      <c r="A91" s="117" t="s">
        <v>151</v>
      </c>
      <c r="B91" s="117">
        <f>MIN(N1:N8)</f>
        <v>0.1</v>
      </c>
      <c r="C91" s="117">
        <v>0.1</v>
      </c>
      <c r="D91" s="117">
        <f t="shared" si="5"/>
        <v>1</v>
      </c>
    </row>
    <row r="92" spans="1:4" ht="17.25" customHeight="1" x14ac:dyDescent="0.2">
      <c r="A92" s="117" t="s">
        <v>152</v>
      </c>
      <c r="B92" s="117">
        <f>MINA(N1:N8)</f>
        <v>0</v>
      </c>
      <c r="C92" s="117">
        <v>0</v>
      </c>
      <c r="D92" s="117">
        <f t="shared" si="5"/>
        <v>1</v>
      </c>
    </row>
    <row r="93" spans="1:4" ht="17.25" customHeight="1" x14ac:dyDescent="0.2">
      <c r="A93" s="117" t="s">
        <v>153</v>
      </c>
      <c r="B93" s="117">
        <f>_xlfn.MINIFS(J2:J9,H2:H9,"&gt;20")</f>
        <v>5000</v>
      </c>
      <c r="C93" s="117">
        <v>5000</v>
      </c>
      <c r="D93" s="117">
        <f t="shared" si="5"/>
        <v>1</v>
      </c>
    </row>
    <row r="94" spans="1:4" ht="17.25" customHeight="1" x14ac:dyDescent="0.2">
      <c r="A94" s="117" t="s">
        <v>154</v>
      </c>
      <c r="B94" s="117">
        <f>MINUTE(0.126)</f>
        <v>1</v>
      </c>
      <c r="C94" s="117">
        <v>1</v>
      </c>
      <c r="D94" s="117">
        <f t="shared" si="5"/>
        <v>1</v>
      </c>
    </row>
    <row r="95" spans="1:4" ht="17.25" customHeight="1" x14ac:dyDescent="0.2">
      <c r="A95" s="117" t="s">
        <v>155</v>
      </c>
      <c r="B95" s="117">
        <f>MOD(42,12)</f>
        <v>6</v>
      </c>
      <c r="C95" s="117">
        <v>6</v>
      </c>
      <c r="D95" s="117">
        <f t="shared" si="5"/>
        <v>1</v>
      </c>
    </row>
    <row r="96" spans="1:4" ht="17.25" customHeight="1" x14ac:dyDescent="0.2">
      <c r="A96" s="117" t="s">
        <v>156</v>
      </c>
      <c r="B96" s="117">
        <f>MONTH("1954-05-02")</f>
        <v>5</v>
      </c>
      <c r="C96" s="117">
        <v>5</v>
      </c>
      <c r="D96" s="117">
        <f t="shared" si="5"/>
        <v>1</v>
      </c>
    </row>
    <row r="97" spans="1:4" ht="17.25" customHeight="1" x14ac:dyDescent="0.2">
      <c r="A97" s="117" t="s">
        <v>157</v>
      </c>
      <c r="B97" s="117">
        <f>NETWORKDAYS("2013-01-01","2013-02-01")</f>
        <v>24</v>
      </c>
      <c r="C97" s="117">
        <v>24</v>
      </c>
      <c r="D97" s="117">
        <f t="shared" si="5"/>
        <v>1</v>
      </c>
    </row>
    <row r="98" spans="1:4" ht="17.25" customHeight="1" x14ac:dyDescent="0.2">
      <c r="A98" s="117" t="s">
        <v>158</v>
      </c>
      <c r="B98" s="117">
        <f>NETWORKDAYS.INTL("2013-01-01","2013-02-01","0000111")</f>
        <v>19</v>
      </c>
      <c r="C98" s="117">
        <v>19</v>
      </c>
      <c r="D98" s="117">
        <f t="shared" ref="D98:D99" si="6">IF(B98=C98,1,0)</f>
        <v>1</v>
      </c>
    </row>
    <row r="99" spans="1:4" ht="17.25" customHeight="1" x14ac:dyDescent="0.2">
      <c r="A99" s="117" t="s">
        <v>159</v>
      </c>
      <c r="B99" s="117" t="b">
        <f>NOT(FALSE)</f>
        <v>1</v>
      </c>
      <c r="C99" s="117" t="b">
        <v>1</v>
      </c>
      <c r="D99" s="117">
        <f t="shared" si="6"/>
        <v>1</v>
      </c>
    </row>
    <row r="100" spans="1:4" ht="17.25" customHeight="1" x14ac:dyDescent="0.2">
      <c r="A100" s="117" t="s">
        <v>160</v>
      </c>
      <c r="B100" s="19">
        <f ca="1">NOW()</f>
        <v>45905.93424490741</v>
      </c>
      <c r="D100" s="117">
        <f ca="1">IF(ISNUMBER(B100),1,0)</f>
        <v>1</v>
      </c>
    </row>
    <row r="101" spans="1:4" ht="17.25" customHeight="1" x14ac:dyDescent="0.2">
      <c r="A101" s="117" t="s">
        <v>161</v>
      </c>
      <c r="B101" s="117">
        <f>ODD(4)</f>
        <v>5</v>
      </c>
      <c r="C101" s="117">
        <v>5</v>
      </c>
      <c r="D101" s="117">
        <f t="shared" ref="D101:D111" si="7">IF(B101=C101,1,0)</f>
        <v>1</v>
      </c>
    </row>
    <row r="102" spans="1:4" ht="17.25" customHeight="1" x14ac:dyDescent="0.2">
      <c r="A102" s="117" t="s">
        <v>162</v>
      </c>
      <c r="B102" s="117" t="b">
        <f>OR("true",FALSE)</f>
        <v>1</v>
      </c>
      <c r="C102" s="117" t="b">
        <v>1</v>
      </c>
      <c r="D102" s="117">
        <f t="shared" si="7"/>
        <v>1</v>
      </c>
    </row>
    <row r="103" spans="1:4" ht="17.25" customHeight="1" x14ac:dyDescent="0.2">
      <c r="A103" s="117" t="s">
        <v>163</v>
      </c>
      <c r="B103" s="117">
        <f>PERCENTILE(N1:N5,1)</f>
        <v>0.6</v>
      </c>
      <c r="C103" s="117">
        <v>0.6</v>
      </c>
      <c r="D103" s="117">
        <f t="shared" si="7"/>
        <v>1</v>
      </c>
    </row>
    <row r="104" spans="1:4" ht="17.25" customHeight="1" x14ac:dyDescent="0.2">
      <c r="A104" s="117" t="s">
        <v>164</v>
      </c>
      <c r="B104" s="117">
        <f>_xlfn.PERCENTILE.EXC(N1:N5,0.5)</f>
        <v>0.4</v>
      </c>
      <c r="C104" s="117">
        <v>0.4</v>
      </c>
      <c r="D104" s="117">
        <f t="shared" si="7"/>
        <v>1</v>
      </c>
    </row>
    <row r="105" spans="1:4" ht="17.25" customHeight="1" x14ac:dyDescent="0.2">
      <c r="A105" s="117" t="s">
        <v>165</v>
      </c>
      <c r="B105" s="117">
        <f>_xlfn.PERCENTILE.INC(N1:N5,0)</f>
        <v>0.1</v>
      </c>
      <c r="C105" s="117">
        <v>0.1</v>
      </c>
      <c r="D105" s="117">
        <f t="shared" si="7"/>
        <v>1</v>
      </c>
    </row>
    <row r="106" spans="1:4" ht="17.25" customHeight="1" x14ac:dyDescent="0.2">
      <c r="A106" s="117" t="s">
        <v>166</v>
      </c>
      <c r="B106" s="117">
        <f>ROUND(PI(),5)</f>
        <v>3.1415899999999999</v>
      </c>
      <c r="C106" s="117">
        <v>3.1415899999999999</v>
      </c>
      <c r="D106" s="117">
        <f t="shared" si="7"/>
        <v>1</v>
      </c>
    </row>
    <row r="107" spans="1:4" ht="17.25" customHeight="1" x14ac:dyDescent="0.2">
      <c r="A107" s="117" t="s">
        <v>167</v>
      </c>
      <c r="B107" s="117">
        <f>POWER(42,2)</f>
        <v>1764</v>
      </c>
      <c r="C107" s="117">
        <v>1764</v>
      </c>
      <c r="D107" s="117">
        <f t="shared" si="7"/>
        <v>1</v>
      </c>
    </row>
    <row r="108" spans="1:4" ht="17.25" customHeight="1" x14ac:dyDescent="0.2">
      <c r="A108" s="117" t="s">
        <v>168</v>
      </c>
      <c r="B108" s="117">
        <f>PRODUCT(1,2,3)</f>
        <v>6</v>
      </c>
      <c r="C108" s="117">
        <v>6</v>
      </c>
      <c r="D108" s="117">
        <f t="shared" si="7"/>
        <v>1</v>
      </c>
    </row>
    <row r="109" spans="1:4" ht="17.25" customHeight="1" x14ac:dyDescent="0.2">
      <c r="A109" s="117" t="s">
        <v>169</v>
      </c>
      <c r="B109" s="117">
        <f>QUARTILE(N1:N5,0)</f>
        <v>0.1</v>
      </c>
      <c r="C109" s="117">
        <v>0.1</v>
      </c>
      <c r="D109" s="117">
        <f t="shared" si="7"/>
        <v>1</v>
      </c>
    </row>
    <row r="110" spans="1:4" ht="17.25" customHeight="1" x14ac:dyDescent="0.2">
      <c r="A110" s="117" t="s">
        <v>170</v>
      </c>
      <c r="B110" s="117">
        <f>ROUND(_xlfn.QUARTILE.EXC(N1:N5,1),5)</f>
        <v>0.15</v>
      </c>
      <c r="C110" s="117">
        <v>0.15</v>
      </c>
      <c r="D110" s="117">
        <f t="shared" si="7"/>
        <v>1</v>
      </c>
    </row>
    <row r="111" spans="1:4" ht="17.25" customHeight="1" x14ac:dyDescent="0.2">
      <c r="A111" s="117" t="s">
        <v>171</v>
      </c>
      <c r="B111" s="117">
        <f>_xlfn.QUARTILE.INC(N1:N5,4)</f>
        <v>0.6</v>
      </c>
      <c r="C111" s="117">
        <v>0.6</v>
      </c>
      <c r="D111" s="117">
        <f t="shared" si="7"/>
        <v>1</v>
      </c>
    </row>
    <row r="112" spans="1:4" ht="17.25" customHeight="1" x14ac:dyDescent="0.2">
      <c r="A112" s="117"/>
      <c r="B112" s="117"/>
      <c r="D112" s="117"/>
    </row>
    <row r="113" spans="1:4" ht="17.25" customHeight="1" x14ac:dyDescent="0.2">
      <c r="A113" s="117" t="s">
        <v>172</v>
      </c>
      <c r="B113" s="117">
        <f ca="1">RANDBETWEEN(1.1,2)</f>
        <v>2</v>
      </c>
      <c r="C113" s="117">
        <v>2</v>
      </c>
      <c r="D113" s="117">
        <f t="shared" ref="D113:D143" ca="1" si="8">IF(B113=C113,1,0)</f>
        <v>1</v>
      </c>
    </row>
    <row r="114" spans="1:4" ht="17.25" customHeight="1" x14ac:dyDescent="0.2">
      <c r="A114" s="117" t="s">
        <v>173</v>
      </c>
      <c r="B114" s="117" t="str">
        <f>REPLACE("ABZ",2,1,"Y")</f>
        <v>AYZ</v>
      </c>
      <c r="C114" s="117" t="s">
        <v>174</v>
      </c>
      <c r="D114" s="117">
        <f t="shared" si="8"/>
        <v>1</v>
      </c>
    </row>
    <row r="115" spans="1:4" ht="17.25" customHeight="1" x14ac:dyDescent="0.2">
      <c r="A115" s="117" t="s">
        <v>175</v>
      </c>
      <c r="B115" s="117" t="str">
        <f>RIGHT("kikou",2)</f>
        <v>ou</v>
      </c>
      <c r="C115" s="117" t="s">
        <v>176</v>
      </c>
      <c r="D115" s="117">
        <f t="shared" si="8"/>
        <v>1</v>
      </c>
    </row>
    <row r="116" spans="1:4" ht="17.25" customHeight="1" x14ac:dyDescent="0.2">
      <c r="A116" s="117" t="s">
        <v>177</v>
      </c>
      <c r="B116" s="117">
        <f>ROUND(49.9,0)</f>
        <v>50</v>
      </c>
      <c r="C116" s="117">
        <v>50</v>
      </c>
      <c r="D116" s="117">
        <f t="shared" si="8"/>
        <v>1</v>
      </c>
    </row>
    <row r="117" spans="1:4" ht="17.25" customHeight="1" x14ac:dyDescent="0.2">
      <c r="A117" s="117" t="s">
        <v>178</v>
      </c>
      <c r="B117" s="117">
        <f>ROUNDDOWN(42,-1)</f>
        <v>40</v>
      </c>
      <c r="C117" s="117">
        <v>40</v>
      </c>
      <c r="D117" s="117">
        <f t="shared" si="8"/>
        <v>1</v>
      </c>
    </row>
    <row r="118" spans="1:4" ht="17.25" customHeight="1" x14ac:dyDescent="0.2">
      <c r="A118" s="117" t="s">
        <v>179</v>
      </c>
      <c r="B118" s="117">
        <f>ROUNDUP(-1.6,0)</f>
        <v>-2</v>
      </c>
      <c r="C118" s="117">
        <v>-2</v>
      </c>
      <c r="D118" s="117">
        <f t="shared" si="8"/>
        <v>1</v>
      </c>
    </row>
    <row r="119" spans="1:4" ht="17.25" customHeight="1" x14ac:dyDescent="0.2">
      <c r="A119" s="117" t="s">
        <v>180</v>
      </c>
      <c r="B119" s="117">
        <f>ROW(A234)</f>
        <v>234</v>
      </c>
      <c r="C119" s="117">
        <v>234</v>
      </c>
      <c r="D119" s="117">
        <f t="shared" si="8"/>
        <v>1</v>
      </c>
    </row>
    <row r="120" spans="1:4" ht="17.25" customHeight="1" x14ac:dyDescent="0.2">
      <c r="A120" s="117" t="s">
        <v>181</v>
      </c>
      <c r="B120" s="117">
        <f>ROWS(B3:C40)</f>
        <v>38</v>
      </c>
      <c r="C120" s="117">
        <v>38</v>
      </c>
      <c r="D120" s="117">
        <f t="shared" si="8"/>
        <v>1</v>
      </c>
    </row>
    <row r="121" spans="1:4" ht="17.25" customHeight="1" x14ac:dyDescent="0.2">
      <c r="A121" s="117" t="s">
        <v>182</v>
      </c>
      <c r="B121" s="117">
        <f>SEARCH("C","ABCD")</f>
        <v>3</v>
      </c>
      <c r="C121" s="117">
        <v>3</v>
      </c>
      <c r="D121" s="117">
        <f t="shared" si="8"/>
        <v>1</v>
      </c>
    </row>
    <row r="122" spans="1:4" ht="17.25" customHeight="1" x14ac:dyDescent="0.2">
      <c r="A122" s="117" t="s">
        <v>183</v>
      </c>
      <c r="B122" s="117">
        <f>ROUND(_xlfn.SEC(PI()/3),5)</f>
        <v>2</v>
      </c>
      <c r="C122" s="117">
        <v>2</v>
      </c>
      <c r="D122" s="117">
        <f t="shared" si="8"/>
        <v>1</v>
      </c>
    </row>
    <row r="123" spans="1:4" ht="17.25" customHeight="1" x14ac:dyDescent="0.2">
      <c r="A123" s="117" t="s">
        <v>184</v>
      </c>
      <c r="B123" s="117">
        <f>ROUND(_xlfn.SECH(1),5)</f>
        <v>0.64805000000000001</v>
      </c>
      <c r="C123" s="117">
        <v>0.64805000000000001</v>
      </c>
      <c r="D123" s="117">
        <f t="shared" si="8"/>
        <v>1</v>
      </c>
    </row>
    <row r="124" spans="1:4" ht="17.25" customHeight="1" x14ac:dyDescent="0.2">
      <c r="A124" s="117" t="s">
        <v>185</v>
      </c>
      <c r="B124" s="117">
        <f>SECOND("00:21:42")</f>
        <v>42</v>
      </c>
      <c r="C124" s="117">
        <v>42</v>
      </c>
      <c r="D124" s="117">
        <f t="shared" si="8"/>
        <v>1</v>
      </c>
    </row>
    <row r="125" spans="1:4" ht="17.25" customHeight="1" x14ac:dyDescent="0.2">
      <c r="A125" s="117" t="s">
        <v>186</v>
      </c>
      <c r="B125" s="117">
        <f>ROUND(SIN(PI()/6),5)</f>
        <v>0.5</v>
      </c>
      <c r="C125" s="117">
        <v>0.5</v>
      </c>
      <c r="D125" s="117">
        <f t="shared" si="8"/>
        <v>1</v>
      </c>
    </row>
    <row r="126" spans="1:4" ht="17.25" customHeight="1" x14ac:dyDescent="0.2">
      <c r="A126" s="117" t="s">
        <v>187</v>
      </c>
      <c r="B126" s="117">
        <f>ROUND(SINH(1),5)</f>
        <v>1.1752</v>
      </c>
      <c r="C126" s="117">
        <v>1.1752</v>
      </c>
      <c r="D126" s="117">
        <f t="shared" si="8"/>
        <v>1</v>
      </c>
    </row>
    <row r="127" spans="1:4" ht="17.25" customHeight="1" x14ac:dyDescent="0.2">
      <c r="A127" s="117" t="s">
        <v>188</v>
      </c>
      <c r="B127" s="117">
        <f>SMALL(H2:H9,3)</f>
        <v>26</v>
      </c>
      <c r="C127" s="117">
        <v>26</v>
      </c>
      <c r="D127" s="117">
        <f t="shared" si="8"/>
        <v>1</v>
      </c>
    </row>
    <row r="128" spans="1:4" ht="17.25" customHeight="1" x14ac:dyDescent="0.2">
      <c r="A128" s="117" t="s">
        <v>189</v>
      </c>
      <c r="B128" s="117">
        <f>SQRT(4)</f>
        <v>2</v>
      </c>
      <c r="C128" s="117">
        <v>2</v>
      </c>
      <c r="D128" s="117">
        <f t="shared" si="8"/>
        <v>1</v>
      </c>
    </row>
    <row r="129" spans="1:4" ht="17.25" customHeight="1" x14ac:dyDescent="0.2">
      <c r="A129" s="117" t="s">
        <v>190</v>
      </c>
      <c r="B129" s="117">
        <f>STDEV(-2,0,2)</f>
        <v>2</v>
      </c>
      <c r="C129" s="117">
        <v>2</v>
      </c>
      <c r="D129" s="117">
        <f t="shared" si="8"/>
        <v>1</v>
      </c>
    </row>
    <row r="130" spans="1:4" ht="17.25" customHeight="1" x14ac:dyDescent="0.2">
      <c r="A130" s="117" t="s">
        <v>191</v>
      </c>
      <c r="B130" s="117">
        <f>_xlfn.STDEV.P(2,4)</f>
        <v>1</v>
      </c>
      <c r="C130" s="117">
        <v>1</v>
      </c>
      <c r="D130" s="117">
        <f t="shared" si="8"/>
        <v>1</v>
      </c>
    </row>
    <row r="131" spans="1:4" ht="17.25" customHeight="1" x14ac:dyDescent="0.2">
      <c r="A131" s="117" t="s">
        <v>192</v>
      </c>
      <c r="B131" s="117">
        <f>_xlfn.STDEV.S(2,4,6)</f>
        <v>2</v>
      </c>
      <c r="C131" s="117">
        <v>2</v>
      </c>
      <c r="D131" s="117">
        <f t="shared" si="8"/>
        <v>1</v>
      </c>
    </row>
    <row r="132" spans="1:4" ht="17.25" customHeight="1" x14ac:dyDescent="0.2">
      <c r="A132" s="117" t="s">
        <v>193</v>
      </c>
      <c r="B132" s="117">
        <f>STDEVA(TRUE,3,5)</f>
        <v>2</v>
      </c>
      <c r="C132" s="117">
        <v>2</v>
      </c>
      <c r="D132" s="117">
        <f t="shared" si="8"/>
        <v>1</v>
      </c>
    </row>
    <row r="133" spans="1:4" ht="17.25" customHeight="1" x14ac:dyDescent="0.2">
      <c r="A133" s="117" t="s">
        <v>194</v>
      </c>
      <c r="B133" s="117">
        <f>ROUND(STDEVP(2,5,8),2)</f>
        <v>2.4500000000000002</v>
      </c>
      <c r="C133" s="117">
        <v>2.4500000000000002</v>
      </c>
      <c r="D133" s="117">
        <f t="shared" si="8"/>
        <v>1</v>
      </c>
    </row>
    <row r="134" spans="1:4" ht="17.25" customHeight="1" x14ac:dyDescent="0.2">
      <c r="A134" s="117" t="s">
        <v>195</v>
      </c>
      <c r="B134" s="117">
        <f>ROUND(STDEVPA(TRUE,4,7),2)</f>
        <v>2.4500000000000002</v>
      </c>
      <c r="C134" s="117">
        <v>2.4500000000000002</v>
      </c>
      <c r="D134" s="117">
        <f t="shared" si="8"/>
        <v>1</v>
      </c>
    </row>
    <row r="135" spans="1:4" ht="17.25" customHeight="1" x14ac:dyDescent="0.2">
      <c r="A135" s="117" t="s">
        <v>196</v>
      </c>
      <c r="B135" s="117" t="str">
        <f>SUBSTITUTE("SAP is best","SAP","Odoo")</f>
        <v>Odoo is best</v>
      </c>
      <c r="C135" s="117" t="s">
        <v>197</v>
      </c>
      <c r="D135" s="117">
        <f t="shared" si="8"/>
        <v>1</v>
      </c>
    </row>
    <row r="136" spans="1:4" ht="17.25" customHeight="1" x14ac:dyDescent="0.2">
      <c r="A136" s="117" t="s">
        <v>198</v>
      </c>
      <c r="B136" s="117">
        <f>SUM(1,2,3,4,5)</f>
        <v>15</v>
      </c>
      <c r="C136" s="117">
        <v>15</v>
      </c>
      <c r="D136" s="117">
        <f t="shared" si="8"/>
        <v>1</v>
      </c>
    </row>
    <row r="137" spans="1:4" ht="17.25" customHeight="1" x14ac:dyDescent="0.2">
      <c r="A137" s="117" t="s">
        <v>199</v>
      </c>
      <c r="B137" s="117">
        <f>SUMIF(K2:K9,"&lt;100")</f>
        <v>52</v>
      </c>
      <c r="C137" s="117">
        <v>52</v>
      </c>
      <c r="D137" s="117">
        <f t="shared" si="8"/>
        <v>1</v>
      </c>
    </row>
    <row r="138" spans="1:4" ht="17.25" customHeight="1" x14ac:dyDescent="0.2">
      <c r="A138" s="117" t="s">
        <v>200</v>
      </c>
      <c r="B138" s="117">
        <f>SUMIFS(H2:H9,K2:K9,"&lt;100")</f>
        <v>201</v>
      </c>
      <c r="C138" s="117">
        <v>201</v>
      </c>
      <c r="D138" s="117">
        <f t="shared" si="8"/>
        <v>1</v>
      </c>
    </row>
    <row r="139" spans="1:4" ht="17.25" customHeight="1" x14ac:dyDescent="0.2">
      <c r="A139" s="117" t="s">
        <v>201</v>
      </c>
      <c r="B139" s="117">
        <f>ROUND(TAN(PI()/4),5)</f>
        <v>1</v>
      </c>
      <c r="C139" s="117">
        <v>1</v>
      </c>
      <c r="D139" s="117">
        <f t="shared" si="8"/>
        <v>1</v>
      </c>
    </row>
    <row r="140" spans="1:4" ht="17.25" customHeight="1" x14ac:dyDescent="0.2">
      <c r="A140" s="117" t="s">
        <v>202</v>
      </c>
      <c r="B140" s="117">
        <f>ROUND(TANH(1),5)</f>
        <v>0.76158999999999999</v>
      </c>
      <c r="C140" s="117">
        <v>0.76158999999999999</v>
      </c>
      <c r="D140" s="117">
        <f t="shared" si="8"/>
        <v>1</v>
      </c>
    </row>
    <row r="141" spans="1:4" ht="17.25" customHeight="1" x14ac:dyDescent="0.2">
      <c r="A141" s="117" t="s">
        <v>203</v>
      </c>
      <c r="B141" s="117" t="str">
        <f>_xlfn.TEXTJOIN("-",TRUE,"","1","A","%")</f>
        <v>1-A-%</v>
      </c>
      <c r="C141" s="117" t="s">
        <v>204</v>
      </c>
      <c r="D141" s="117">
        <f t="shared" si="8"/>
        <v>1</v>
      </c>
    </row>
    <row r="142" spans="1:4" ht="17.25" customHeight="1" x14ac:dyDescent="0.2">
      <c r="A142" s="117" t="s">
        <v>205</v>
      </c>
      <c r="B142" s="20">
        <f>TIME(9,11,31)</f>
        <v>0.38299768518518523</v>
      </c>
      <c r="C142" s="20">
        <v>0.38299768519999999</v>
      </c>
      <c r="D142" s="117">
        <f t="shared" si="8"/>
        <v>0</v>
      </c>
    </row>
    <row r="143" spans="1:4" ht="17.25" customHeight="1" x14ac:dyDescent="0.2">
      <c r="A143" s="117" t="s">
        <v>206</v>
      </c>
      <c r="B143" s="117">
        <f>TIMEVALUE("18:00:00")</f>
        <v>0.75</v>
      </c>
      <c r="C143" s="117">
        <v>0.75</v>
      </c>
      <c r="D143" s="117">
        <f t="shared" si="8"/>
        <v>1</v>
      </c>
    </row>
    <row r="144" spans="1:4" ht="17.25" customHeight="1" x14ac:dyDescent="0.2">
      <c r="A144" s="117" t="s">
        <v>207</v>
      </c>
      <c r="B144" s="18">
        <f ca="1">TODAY()</f>
        <v>45905</v>
      </c>
      <c r="D144" s="117">
        <f ca="1">IF(ISNUMBER(B144),1,0)</f>
        <v>1</v>
      </c>
    </row>
    <row r="145" spans="1:4" ht="17.25" customHeight="1" x14ac:dyDescent="0.2">
      <c r="A145" s="117" t="s">
        <v>208</v>
      </c>
      <c r="B145" s="117" t="str">
        <f>TRIM(" Jean Ticonstitutionnalise ")</f>
        <v>Jean Ticonstitutionnalise</v>
      </c>
      <c r="C145" s="117" t="s">
        <v>209</v>
      </c>
      <c r="D145" s="117">
        <f t="shared" ref="D145:D163" si="9">IF(B145=C145,1,0)</f>
        <v>1</v>
      </c>
    </row>
    <row r="146" spans="1:4" ht="17.25" customHeight="1" x14ac:dyDescent="0.2">
      <c r="A146" s="117" t="s">
        <v>210</v>
      </c>
      <c r="B146" s="117">
        <f>TRUNC(42.42,1)</f>
        <v>42.4</v>
      </c>
      <c r="C146" s="117">
        <v>42.4</v>
      </c>
      <c r="D146" s="117">
        <f t="shared" si="9"/>
        <v>1</v>
      </c>
    </row>
    <row r="147" spans="1:4" ht="17.25" customHeight="1" x14ac:dyDescent="0.2">
      <c r="A147" s="117" t="s">
        <v>211</v>
      </c>
      <c r="B147" s="117" t="str">
        <f>UPPER("grrrr !")</f>
        <v>GRRRR !</v>
      </c>
      <c r="C147" s="117" t="s">
        <v>212</v>
      </c>
      <c r="D147" s="117">
        <f t="shared" si="9"/>
        <v>1</v>
      </c>
    </row>
    <row r="148" spans="1:4" ht="17.25" customHeight="1" x14ac:dyDescent="0.2">
      <c r="A148" s="117" t="s">
        <v>213</v>
      </c>
      <c r="B148" s="117">
        <f>ROUND(VAR(K1:K5),5)</f>
        <v>2.9166699999999999</v>
      </c>
      <c r="C148" s="117">
        <v>2.9166699999999999</v>
      </c>
      <c r="D148" s="117">
        <f t="shared" si="9"/>
        <v>1</v>
      </c>
    </row>
    <row r="149" spans="1:4" ht="17.25" customHeight="1" x14ac:dyDescent="0.2">
      <c r="A149" s="117" t="s">
        <v>214</v>
      </c>
      <c r="B149" s="117">
        <f>ROUND(_xlfn.VAR.P(K1:K5),5)</f>
        <v>2.1875</v>
      </c>
      <c r="C149" s="117">
        <v>2.1875</v>
      </c>
      <c r="D149" s="117">
        <f t="shared" si="9"/>
        <v>1</v>
      </c>
    </row>
    <row r="150" spans="1:4" ht="17.25" customHeight="1" x14ac:dyDescent="0.2">
      <c r="A150" s="117" t="s">
        <v>215</v>
      </c>
      <c r="B150" s="117">
        <f>_xlfn.VAR.S(2,5,8)</f>
        <v>9</v>
      </c>
      <c r="C150" s="117">
        <v>9</v>
      </c>
      <c r="D150" s="117">
        <f t="shared" si="9"/>
        <v>1</v>
      </c>
    </row>
    <row r="151" spans="1:4" ht="17.25" customHeight="1" x14ac:dyDescent="0.2">
      <c r="A151" s="117" t="s">
        <v>216</v>
      </c>
      <c r="B151" s="117">
        <f>ROUND(VARA(K1:K5),5)</f>
        <v>6.7</v>
      </c>
      <c r="C151" s="117">
        <v>6.7</v>
      </c>
      <c r="D151" s="117">
        <f t="shared" si="9"/>
        <v>1</v>
      </c>
    </row>
    <row r="152" spans="1:4" ht="17.25" customHeight="1" x14ac:dyDescent="0.2">
      <c r="A152" s="117" t="s">
        <v>217</v>
      </c>
      <c r="B152" s="117">
        <f>ROUND(VARP(K1:K5),5)</f>
        <v>2.1875</v>
      </c>
      <c r="C152" s="117">
        <v>2.1875</v>
      </c>
      <c r="D152" s="117">
        <f t="shared" si="9"/>
        <v>1</v>
      </c>
    </row>
    <row r="153" spans="1:4" ht="17.25" customHeight="1" x14ac:dyDescent="0.2">
      <c r="A153" s="117" t="s">
        <v>218</v>
      </c>
      <c r="B153" s="117">
        <f>ROUND(VARPA(K1:K5),5)</f>
        <v>5.36</v>
      </c>
      <c r="C153" s="117">
        <v>5.36</v>
      </c>
      <c r="D153" s="117">
        <f t="shared" si="9"/>
        <v>1</v>
      </c>
    </row>
    <row r="154" spans="1:4" ht="17.25" customHeight="1" x14ac:dyDescent="0.2">
      <c r="A154" s="117" t="s">
        <v>219</v>
      </c>
      <c r="B154" s="117">
        <f>VLOOKUP("NotACheater",G1:K9,3,FALSE)</f>
        <v>252.4</v>
      </c>
      <c r="C154" s="117">
        <f>252.4</f>
        <v>252.4</v>
      </c>
      <c r="D154" s="117">
        <f t="shared" si="9"/>
        <v>1</v>
      </c>
    </row>
    <row r="155" spans="1:4" ht="17.25" customHeight="1" x14ac:dyDescent="0.2">
      <c r="A155" s="117" t="s">
        <v>220</v>
      </c>
      <c r="B155" s="117">
        <f>WEEKDAY("2021-06-12")</f>
        <v>7</v>
      </c>
      <c r="C155" s="117">
        <v>7</v>
      </c>
      <c r="D155" s="117">
        <f t="shared" si="9"/>
        <v>1</v>
      </c>
    </row>
    <row r="156" spans="1:4" ht="17.25" customHeight="1" x14ac:dyDescent="0.2">
      <c r="A156" s="117" t="s">
        <v>221</v>
      </c>
      <c r="B156" s="117">
        <f>WEEKNUM("2021-06-29")</f>
        <v>27</v>
      </c>
      <c r="C156" s="117">
        <v>27</v>
      </c>
      <c r="D156" s="117">
        <f t="shared" si="9"/>
        <v>1</v>
      </c>
    </row>
    <row r="157" spans="1:4" ht="17.25" customHeight="1" x14ac:dyDescent="0.2">
      <c r="A157" s="117" t="s">
        <v>222</v>
      </c>
      <c r="B157" s="18">
        <f>WORKDAY("2021-03-15",6)</f>
        <v>44278</v>
      </c>
      <c r="C157" s="18">
        <v>44278</v>
      </c>
      <c r="D157" s="117">
        <f t="shared" si="9"/>
        <v>1</v>
      </c>
    </row>
    <row r="158" spans="1:4" ht="17.25" customHeight="1" x14ac:dyDescent="0.2">
      <c r="A158" s="117" t="s">
        <v>223</v>
      </c>
      <c r="B158" s="18">
        <f>WORKDAY.INTL("2021-03-15",6,"0111111")</f>
        <v>44312</v>
      </c>
      <c r="C158" s="18">
        <v>44312</v>
      </c>
      <c r="D158" s="117">
        <f t="shared" si="9"/>
        <v>1</v>
      </c>
    </row>
    <row r="159" spans="1:4" ht="17.25" customHeight="1" x14ac:dyDescent="0.2">
      <c r="A159" s="117" t="s">
        <v>224</v>
      </c>
      <c r="B159" s="117" t="b">
        <f>_xlfn.XOR(FALSE,TRUE,FALSE,FALSE)</f>
        <v>1</v>
      </c>
      <c r="C159" s="117" t="b">
        <v>1</v>
      </c>
      <c r="D159" s="117">
        <f t="shared" si="9"/>
        <v>1</v>
      </c>
    </row>
    <row r="160" spans="1:4" ht="17.25" customHeight="1" x14ac:dyDescent="0.2">
      <c r="A160" s="117" t="s">
        <v>225</v>
      </c>
      <c r="B160" s="117">
        <f>YEAR("2012-03-12")</f>
        <v>2012</v>
      </c>
      <c r="C160" s="117">
        <v>2012</v>
      </c>
      <c r="D160" s="117">
        <f t="shared" si="9"/>
        <v>1</v>
      </c>
    </row>
    <row r="161" spans="1:4" ht="17.25" customHeight="1" x14ac:dyDescent="0.2">
      <c r="A161" s="117" t="s">
        <v>226</v>
      </c>
      <c r="B161" s="117">
        <f>DELTA(1,1)</f>
        <v>1</v>
      </c>
      <c r="C161" s="117">
        <v>1</v>
      </c>
      <c r="D161" s="117">
        <f t="shared" si="9"/>
        <v>1</v>
      </c>
    </row>
    <row r="162" spans="1:4" ht="17.25" customHeight="1" x14ac:dyDescent="0.2">
      <c r="A162" s="117" t="s">
        <v>227</v>
      </c>
      <c r="B162" s="117" t="str">
        <f>ADDRESS(1,1,4,FALSE,"sheet!")</f>
        <v>'sheet!'!R[1]C[1]</v>
      </c>
      <c r="C162" s="117" t="s">
        <v>228</v>
      </c>
      <c r="D162" s="117">
        <f t="shared" si="9"/>
        <v>1</v>
      </c>
    </row>
    <row r="163" spans="1:4" ht="17.25" customHeight="1" x14ac:dyDescent="0.2">
      <c r="A163" s="117" t="s">
        <v>229</v>
      </c>
      <c r="B163" s="117">
        <f>DATEDIF("2002/01/01","2002/01/02","D")</f>
        <v>1</v>
      </c>
      <c r="C163" s="117">
        <v>1</v>
      </c>
      <c r="D163" s="117">
        <f t="shared" si="9"/>
        <v>1</v>
      </c>
    </row>
  </sheetData>
  <conditionalFormatting sqref="D1:D180">
    <cfRule type="cellIs" dxfId="25" priority="1" operator="equal">
      <formula>1</formula>
    </cfRule>
    <cfRule type="cellIs" dxfId="24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30"/>
  <sheetViews>
    <sheetView topLeftCell="A11" workbookViewId="0">
      <selection activeCell="A30" sqref="A30"/>
    </sheetView>
  </sheetViews>
  <sheetFormatPr defaultColWidth="9.140625" defaultRowHeight="12.75" outlineLevelRow="2" outlineLevelCol="2" x14ac:dyDescent="0.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 x14ac:dyDescent="0.2">
      <c r="A1" t="s">
        <v>230</v>
      </c>
      <c r="C1" t="s">
        <v>231</v>
      </c>
      <c r="D1" s="123" t="s">
        <v>232</v>
      </c>
      <c r="E1" s="123"/>
      <c r="F1" t="s">
        <v>233</v>
      </c>
      <c r="H1" s="34" t="s">
        <v>234</v>
      </c>
    </row>
    <row r="2" spans="1:8" x14ac:dyDescent="0.2">
      <c r="A2">
        <f>SUM(A1)</f>
        <v>0</v>
      </c>
      <c r="D2" s="123"/>
      <c r="E2" s="123"/>
      <c r="H2" t="str">
        <f>[1]Feuil1!$A$1</f>
        <v>referenced string</v>
      </c>
    </row>
    <row r="3" spans="1:8" x14ac:dyDescent="0.2">
      <c r="D3" s="85" t="s">
        <v>235</v>
      </c>
      <c r="F3" s="85" t="s">
        <v>236</v>
      </c>
    </row>
    <row r="4" spans="1:8" hidden="1" x14ac:dyDescent="0.2">
      <c r="A4" t="s">
        <v>237</v>
      </c>
    </row>
    <row r="5" spans="1:8" ht="75" customHeight="1" x14ac:dyDescent="0.2">
      <c r="A5" t="s">
        <v>238</v>
      </c>
    </row>
    <row r="10" spans="1:8" outlineLevel="1" x14ac:dyDescent="0.2"/>
    <row r="11" spans="1:8" outlineLevel="1" x14ac:dyDescent="0.2"/>
    <row r="12" spans="1:8" hidden="1" outlineLevel="2" x14ac:dyDescent="0.2"/>
    <row r="13" spans="1:8" hidden="1" outlineLevel="2" x14ac:dyDescent="0.2"/>
    <row r="14" spans="1:8" hidden="1" outlineLevel="2" x14ac:dyDescent="0.2"/>
    <row r="15" spans="1:8" outlineLevel="1" collapsed="1" x14ac:dyDescent="0.2"/>
    <row r="16" spans="1:8" outlineLevel="1" x14ac:dyDescent="0.2"/>
    <row r="17" spans="1:1" outlineLevel="1" x14ac:dyDescent="0.2"/>
    <row r="18" spans="1:1" outlineLevel="1" x14ac:dyDescent="0.2"/>
    <row r="30" spans="1:1" x14ac:dyDescent="0.2">
      <c r="A30" t="e">
        <f ca="1">RANDARRAY(2,2)</f>
        <v>#NAME?</v>
      </c>
    </row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 x14ac:dyDescent="0.2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 x14ac:dyDescent="0.25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 x14ac:dyDescent="0.2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 x14ac:dyDescent="0.2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 x14ac:dyDescent="0.3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 x14ac:dyDescent="0.2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 x14ac:dyDescent="0.2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 x14ac:dyDescent="0.2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 x14ac:dyDescent="0.35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 x14ac:dyDescent="0.2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 x14ac:dyDescent="0.2">
      <c r="A10" s="48" t="s">
        <v>283</v>
      </c>
      <c r="C10" s="59" t="s">
        <v>284</v>
      </c>
    </row>
    <row r="11" spans="1:13" ht="13.5" thickBot="1" x14ac:dyDescent="0.25">
      <c r="A11" s="49" t="s">
        <v>285</v>
      </c>
      <c r="E11" s="35" t="s">
        <v>286</v>
      </c>
      <c r="F11" s="36"/>
    </row>
    <row r="12" spans="1:13" ht="18.75" customHeight="1" x14ac:dyDescent="0.2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 x14ac:dyDescent="0.25">
      <c r="A13" s="51" t="s">
        <v>290</v>
      </c>
      <c r="E13" s="38" t="s">
        <v>16</v>
      </c>
      <c r="F13" s="30" t="s">
        <v>248</v>
      </c>
    </row>
    <row r="14" spans="1:13" ht="18.75" customHeight="1" thickBot="1" x14ac:dyDescent="0.25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 x14ac:dyDescent="0.25">
      <c r="A15" s="53" t="s">
        <v>293</v>
      </c>
      <c r="E15" s="38" t="s">
        <v>272</v>
      </c>
      <c r="F15" s="32" t="s">
        <v>248</v>
      </c>
    </row>
    <row r="16" spans="1:13" ht="19.5" customHeight="1" thickBot="1" x14ac:dyDescent="0.25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 x14ac:dyDescent="0.25">
      <c r="A17" s="55" t="s">
        <v>296</v>
      </c>
    </row>
    <row r="18" spans="1:6" ht="13.5" thickBot="1" x14ac:dyDescent="0.25">
      <c r="A18" s="74" t="s">
        <v>297</v>
      </c>
      <c r="C18" s="63" t="s">
        <v>298</v>
      </c>
      <c r="E18" s="35" t="s">
        <v>299</v>
      </c>
      <c r="F18" s="36"/>
    </row>
    <row r="19" spans="1:6" ht="13.5" thickBot="1" x14ac:dyDescent="0.25">
      <c r="A19" s="75" t="s">
        <v>300</v>
      </c>
      <c r="E19" s="38" t="s">
        <v>301</v>
      </c>
      <c r="F19" t="s">
        <v>302</v>
      </c>
    </row>
    <row r="20" spans="1:6" ht="51.75" thickBot="1" x14ac:dyDescent="0.25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 x14ac:dyDescent="0.25">
      <c r="A21" s="77" t="s">
        <v>306</v>
      </c>
    </row>
    <row r="22" spans="1:6" ht="13.5" thickBot="1" x14ac:dyDescent="0.25">
      <c r="A22" s="78" t="s">
        <v>307</v>
      </c>
      <c r="C22" s="65" t="s">
        <v>308</v>
      </c>
      <c r="E22" s="21"/>
    </row>
    <row r="23" spans="1:6" ht="13.5" thickBot="1" x14ac:dyDescent="0.25">
      <c r="A23" s="79" t="s">
        <v>309</v>
      </c>
      <c r="E23" s="21"/>
    </row>
    <row r="24" spans="1:6" ht="14.25" thickTop="1" thickBot="1" x14ac:dyDescent="0.25">
      <c r="A24" s="80" t="s">
        <v>310</v>
      </c>
      <c r="C24" s="66" t="s">
        <v>311</v>
      </c>
      <c r="E24" s="21"/>
    </row>
    <row r="25" spans="1:6" ht="14.25" thickTop="1" thickBot="1" x14ac:dyDescent="0.25"/>
    <row r="26" spans="1:6" ht="14.25" thickTop="1" thickBot="1" x14ac:dyDescent="0.25">
      <c r="C26" s="67" t="s">
        <v>312</v>
      </c>
    </row>
    <row r="27" spans="1:6" ht="14.25" thickTop="1" thickBot="1" x14ac:dyDescent="0.25"/>
    <row r="28" spans="1:6" ht="14.25" thickTop="1" thickBot="1" x14ac:dyDescent="0.25">
      <c r="C28" s="88" t="s">
        <v>313</v>
      </c>
    </row>
    <row r="29" spans="1:6" ht="13.5" thickTop="1" x14ac:dyDescent="0.2"/>
    <row r="30" spans="1:6" x14ac:dyDescent="0.2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tabSelected="1" zoomScaleNormal="100" workbookViewId="0">
      <selection activeCell="A34" sqref="A34"/>
    </sheetView>
  </sheetViews>
  <sheetFormatPr defaultColWidth="11.42578125" defaultRowHeight="12.75" x14ac:dyDescent="0.2"/>
  <cols>
    <col min="1" max="1" width="19.140625" customWidth="1"/>
    <col min="7" max="7" width="15.85546875" customWidth="1"/>
  </cols>
  <sheetData>
    <row r="1" spans="1:10" ht="13.5" thickBot="1" x14ac:dyDescent="0.25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 x14ac:dyDescent="0.2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 x14ac:dyDescent="0.2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 x14ac:dyDescent="0.2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 x14ac:dyDescent="0.2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 x14ac:dyDescent="0.2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 x14ac:dyDescent="0.2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 x14ac:dyDescent="0.2">
      <c r="A8" s="38" t="s">
        <v>337</v>
      </c>
      <c r="B8" s="21" t="s">
        <v>338</v>
      </c>
      <c r="C8" s="21" t="s">
        <v>323</v>
      </c>
    </row>
    <row r="9" spans="1:10" x14ac:dyDescent="0.2">
      <c r="A9" s="38" t="s">
        <v>339</v>
      </c>
      <c r="B9" s="21" t="s">
        <v>326</v>
      </c>
      <c r="C9" s="21"/>
    </row>
    <row r="10" spans="1:10" ht="13.5" thickBot="1" x14ac:dyDescent="0.25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 x14ac:dyDescent="0.2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 x14ac:dyDescent="0.2">
      <c r="A12" s="38" t="s">
        <v>344</v>
      </c>
      <c r="B12" s="39">
        <f ca="1">TODAY()</f>
        <v>45905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 x14ac:dyDescent="0.2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 x14ac:dyDescent="0.2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 x14ac:dyDescent="0.2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 x14ac:dyDescent="0.2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 x14ac:dyDescent="0.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 x14ac:dyDescent="0.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 x14ac:dyDescent="0.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 x14ac:dyDescent="0.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 x14ac:dyDescent="0.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 x14ac:dyDescent="0.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 x14ac:dyDescent="0.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 x14ac:dyDescent="0.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 x14ac:dyDescent="0.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 x14ac:dyDescent="0.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2">
      <c r="A29" s="38" t="s">
        <v>440</v>
      </c>
      <c r="B29">
        <v>3</v>
      </c>
      <c r="C29">
        <v>10</v>
      </c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 x14ac:dyDescent="0.25">
      <c r="G31" s="35" t="s">
        <v>377</v>
      </c>
      <c r="H31" s="36">
        <v>5</v>
      </c>
      <c r="I31" s="36">
        <v>3</v>
      </c>
      <c r="J31" s="36">
        <v>1</v>
      </c>
    </row>
    <row r="32" spans="1:12" x14ac:dyDescent="0.2">
      <c r="G32" s="34" t="s">
        <v>378</v>
      </c>
      <c r="H32">
        <v>5</v>
      </c>
      <c r="I32">
        <v>3</v>
      </c>
      <c r="J32">
        <v>1</v>
      </c>
    </row>
    <row r="33" spans="7:10" x14ac:dyDescent="0.2">
      <c r="G33" s="34" t="s">
        <v>379</v>
      </c>
      <c r="H33">
        <v>5</v>
      </c>
      <c r="I33">
        <v>3</v>
      </c>
      <c r="J33">
        <v>1</v>
      </c>
    </row>
    <row r="34" spans="7:10" x14ac:dyDescent="0.2">
      <c r="G34" s="34" t="s">
        <v>380</v>
      </c>
      <c r="H34">
        <v>5</v>
      </c>
      <c r="I34">
        <v>3</v>
      </c>
      <c r="J34">
        <v>1</v>
      </c>
    </row>
    <row r="35" spans="7:10" x14ac:dyDescent="0.2">
      <c r="G35" s="34" t="s">
        <v>381</v>
      </c>
      <c r="H35">
        <v>5</v>
      </c>
      <c r="I35">
        <v>3</v>
      </c>
      <c r="J35">
        <v>1</v>
      </c>
    </row>
    <row r="36" spans="7:10" x14ac:dyDescent="0.2">
      <c r="G36" s="34" t="s">
        <v>382</v>
      </c>
      <c r="H36">
        <v>5</v>
      </c>
      <c r="I36">
        <v>3</v>
      </c>
      <c r="J36">
        <v>1</v>
      </c>
    </row>
    <row r="37" spans="7:10" x14ac:dyDescent="0.2">
      <c r="G37" s="34" t="s">
        <v>383</v>
      </c>
      <c r="H37">
        <v>5</v>
      </c>
      <c r="I37">
        <v>3</v>
      </c>
      <c r="J37">
        <v>1</v>
      </c>
    </row>
    <row r="39" spans="7:10" x14ac:dyDescent="0.2">
      <c r="G39" s="34"/>
    </row>
  </sheetData>
  <phoneticPr fontId="21" type="noConversion"/>
  <conditionalFormatting sqref="B15">
    <cfRule type="expression" dxfId="23" priority="59">
      <formula>ODD(B15)</formula>
    </cfRule>
  </conditionalFormatting>
  <conditionalFormatting sqref="B26:B27">
    <cfRule type="cellIs" dxfId="22" priority="47" operator="equal">
      <formula>2</formula>
    </cfRule>
  </conditionalFormatting>
  <conditionalFormatting sqref="B2:C2">
    <cfRule type="aboveAverage" dxfId="21" priority="115"/>
  </conditionalFormatting>
  <conditionalFormatting sqref="B3:C3">
    <cfRule type="beginsWith" dxfId="20" priority="74" operator="beginsWith" text="rule">
      <formula>LEFT(B3,LEN("rule"))="rule"</formula>
    </cfRule>
  </conditionalFormatting>
  <conditionalFormatting sqref="B4:C4">
    <cfRule type="containsBlanks" dxfId="19" priority="72">
      <formula>LEN(TRIM(B4))=0</formula>
    </cfRule>
  </conditionalFormatting>
  <conditionalFormatting sqref="B5:C5">
    <cfRule type="containsErrors" dxfId="18" priority="71">
      <formula>ISERROR(B5)</formula>
    </cfRule>
  </conditionalFormatting>
  <conditionalFormatting sqref="B6:C6">
    <cfRule type="containsText" dxfId="17" priority="70" operator="containsText" text="rule">
      <formula>NOT(ISERROR(SEARCH("rule",B6)))</formula>
    </cfRule>
  </conditionalFormatting>
  <conditionalFormatting sqref="B8:C8">
    <cfRule type="endsWith" dxfId="16" priority="68" operator="endsWith" text="rule">
      <formula>RIGHT(B8,LEN("rule"))="rule"</formula>
    </cfRule>
  </conditionalFormatting>
  <conditionalFormatting sqref="B9:C9">
    <cfRule type="notContainsBlanks" dxfId="15" priority="67">
      <formula>LEN(TRIM(B9))&gt;0</formula>
    </cfRule>
  </conditionalFormatting>
  <conditionalFormatting sqref="B10:C10">
    <cfRule type="notContainsErrors" dxfId="14" priority="66">
      <formula>NOT(ISERROR(B10))</formula>
    </cfRule>
  </conditionalFormatting>
  <conditionalFormatting sqref="B11:C11">
    <cfRule type="notContainsText" dxfId="13" priority="65" operator="notContains" text="rule">
      <formula>ISERROR(SEARCH("rule",B11))</formula>
    </cfRule>
  </conditionalFormatting>
  <conditionalFormatting sqref="B12:C12">
    <cfRule type="timePeriod" dxfId="12" priority="64" timePeriod="today">
      <formula>FLOOR(B12,1)=TODAY()</formula>
    </cfRule>
  </conditionalFormatting>
  <conditionalFormatting sqref="B13:C13">
    <cfRule type="top10" dxfId="11" priority="116" rank="1"/>
  </conditionalFormatting>
  <conditionalFormatting sqref="B16:C16">
    <cfRule type="cellIs" dxfId="10" priority="46" operator="equal">
      <formula>2</formula>
    </cfRule>
  </conditionalFormatting>
  <conditionalFormatting sqref="B17:C17">
    <cfRule type="cellIs" dxfId="9" priority="57" operator="notEqual">
      <formula>2</formula>
    </cfRule>
  </conditionalFormatting>
  <conditionalFormatting sqref="B18:C18">
    <cfRule type="cellIs" dxfId="8" priority="7" operator="greaterThan">
      <formula>2</formula>
    </cfRule>
  </conditionalFormatting>
  <conditionalFormatting sqref="B19:C19">
    <cfRule type="cellIs" dxfId="7" priority="6" operator="greaterThanOrEqual">
      <formula>2</formula>
    </cfRule>
  </conditionalFormatting>
  <conditionalFormatting sqref="B20:C20">
    <cfRule type="cellIs" dxfId="6" priority="5" operator="lessThan">
      <formula>2</formula>
    </cfRule>
  </conditionalFormatting>
  <conditionalFormatting sqref="B21:C21">
    <cfRule type="cellIs" dxfId="5" priority="4" operator="lessThanOrEqual">
      <formula>2</formula>
    </cfRule>
  </conditionalFormatting>
  <conditionalFormatting sqref="B22:C22">
    <cfRule type="cellIs" dxfId="4" priority="3" operator="between">
      <formula>2</formula>
      <formula>4</formula>
    </cfRule>
  </conditionalFormatting>
  <conditionalFormatting sqref="B23:C23">
    <cfRule type="cellIs" dxfId="3" priority="2" operator="notBetween">
      <formula>2</formula>
      <formula>4</formula>
    </cfRule>
  </conditionalFormatting>
  <conditionalFormatting sqref="B24:C24">
    <cfRule type="dataBar" priority="1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29:C29">
    <cfRule type="cellIs" dxfId="2" priority="1" operator="between">
      <formula>$B$23</formula>
      <formula>2+2</formula>
    </cfRule>
  </conditionalFormatting>
  <conditionalFormatting sqref="B7:D7">
    <cfRule type="duplicateValues" dxfId="1" priority="83"/>
  </conditionalFormatting>
  <conditionalFormatting sqref="B14:D14">
    <cfRule type="uniqueValues" dxfId="0" priority="97"/>
  </conditionalFormatting>
  <conditionalFormatting sqref="H2:J2">
    <cfRule type="colorScale" priority="45">
      <colorScale>
        <cfvo type="min"/>
        <cfvo type="max"/>
        <color theme="5"/>
        <color theme="7"/>
      </colorScale>
    </cfRule>
  </conditionalFormatting>
  <conditionalFormatting sqref="H3:J3">
    <cfRule type="colorScale" priority="43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2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1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40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8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6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5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4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3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2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1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30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9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8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7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8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7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6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3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1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20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9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6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5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4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10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F22" sqref="F22"/>
    </sheetView>
  </sheetViews>
  <sheetFormatPr defaultColWidth="9.140625" defaultRowHeight="12.75" x14ac:dyDescent="0.2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 x14ac:dyDescent="0.2">
      <c r="A1" t="s">
        <v>384</v>
      </c>
    </row>
    <row r="3" spans="1:10" ht="15" x14ac:dyDescent="0.2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 x14ac:dyDescent="0.2">
      <c r="C4" s="117" t="s">
        <v>42</v>
      </c>
      <c r="D4" s="117">
        <v>26</v>
      </c>
      <c r="E4" s="117">
        <v>5</v>
      </c>
      <c r="F4" s="117">
        <f>Table3[[#This Row],[Rank]]+Table3[[#This Row],[Age]]</f>
        <v>31</v>
      </c>
      <c r="G4" s="117">
        <f>SUM(Table3[Rank])</f>
        <v>12</v>
      </c>
      <c r="H4" s="117">
        <f>SUM(Table3[[#All],[Rank]])</f>
        <v>24</v>
      </c>
      <c r="I4" s="117">
        <f>Table3[[#Totals],[Rank]]</f>
        <v>12</v>
      </c>
      <c r="J4" s="117" t="str">
        <f>Table3[[#Headers],[Rank]]</f>
        <v>Rank</v>
      </c>
    </row>
    <row r="5" spans="1:10" x14ac:dyDescent="0.2">
      <c r="C5" s="117" t="s">
        <v>44</v>
      </c>
      <c r="D5" s="117">
        <v>13</v>
      </c>
      <c r="E5" s="117">
        <v>7</v>
      </c>
      <c r="F5" s="117">
        <f>Table3[[#This Row],[Rank]]+Table3[[#This Row],[Age]]</f>
        <v>20</v>
      </c>
      <c r="G5" s="117">
        <f>SUM(Table3[Rank])</f>
        <v>12</v>
      </c>
      <c r="H5" s="117">
        <f>SUM(Table3[[#All],[Rank]])</f>
        <v>24</v>
      </c>
      <c r="I5" s="117">
        <f>Table3[[#Totals],[Rank]]</f>
        <v>12</v>
      </c>
      <c r="J5" s="117" t="str">
        <f>Table3[[#Headers],[Rank]]</f>
        <v>Rank</v>
      </c>
    </row>
    <row r="6" spans="1:10" x14ac:dyDescent="0.2">
      <c r="C6" s="117" t="s">
        <v>391</v>
      </c>
      <c r="D6" s="117">
        <f>SUBTOTAL(109,Table3[Age])</f>
        <v>39</v>
      </c>
      <c r="E6" s="117">
        <f>SUBTOTAL(109,Table3[Rank])</f>
        <v>12</v>
      </c>
      <c r="F6" s="117">
        <f>SUBTOTAL(109,Table3[Rank+Age =E4+D4])</f>
        <v>51</v>
      </c>
      <c r="G6" s="117">
        <f>SUBTOTAL(109,Table3[Data =SUM(E4:E5)])</f>
        <v>24</v>
      </c>
      <c r="H6" s="117">
        <f>SUBTOTAL(109,Table3[All =SUM(E3:E6)])</f>
        <v>48</v>
      </c>
      <c r="I6" s="117">
        <f>SUBTOTAL(109,Table3[Totals =E6])</f>
        <v>24</v>
      </c>
      <c r="J6" s="117">
        <f>SUBTOTAL(109,Table3[Headers =E3])</f>
        <v>0</v>
      </c>
    </row>
    <row r="8" spans="1:10" x14ac:dyDescent="0.2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 x14ac:dyDescent="0.2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 x14ac:dyDescent="0.2">
      <c r="B11" t="s">
        <v>398</v>
      </c>
      <c r="C11" t="s">
        <v>399</v>
      </c>
      <c r="D11" t="s">
        <v>400</v>
      </c>
    </row>
    <row r="12" spans="1:10" x14ac:dyDescent="0.2">
      <c r="C12">
        <v>3</v>
      </c>
      <c r="D12">
        <v>4</v>
      </c>
    </row>
    <row r="14" spans="1:10" x14ac:dyDescent="0.2">
      <c r="B14" t="s">
        <v>401</v>
      </c>
      <c r="C14">
        <v>1</v>
      </c>
      <c r="D14">
        <v>2</v>
      </c>
    </row>
    <row r="15" spans="1:10" x14ac:dyDescent="0.2">
      <c r="C15">
        <v>3</v>
      </c>
      <c r="D15">
        <v>4</v>
      </c>
    </row>
    <row r="17" spans="2:4" x14ac:dyDescent="0.2">
      <c r="B17" t="s">
        <v>402</v>
      </c>
      <c r="C17">
        <v>1</v>
      </c>
      <c r="D17">
        <v>2</v>
      </c>
    </row>
    <row r="18" spans="2:4" x14ac:dyDescent="0.2">
      <c r="C18">
        <v>3</v>
      </c>
      <c r="D18">
        <v>4</v>
      </c>
    </row>
    <row r="20" spans="2:4" x14ac:dyDescent="0.2">
      <c r="B20" t="s">
        <v>403</v>
      </c>
      <c r="C20">
        <v>1</v>
      </c>
      <c r="D20">
        <v>2</v>
      </c>
    </row>
    <row r="21" spans="2:4" x14ac:dyDescent="0.2">
      <c r="C21">
        <v>3</v>
      </c>
      <c r="D21">
        <v>4</v>
      </c>
    </row>
    <row r="23" spans="2:4" x14ac:dyDescent="0.2">
      <c r="B23" t="s">
        <v>404</v>
      </c>
      <c r="C23">
        <v>1</v>
      </c>
      <c r="D23">
        <v>2</v>
      </c>
    </row>
    <row r="24" spans="2:4" x14ac:dyDescent="0.2">
      <c r="C24">
        <v>3</v>
      </c>
      <c r="D24">
        <v>4</v>
      </c>
    </row>
    <row r="26" spans="2:4" x14ac:dyDescent="0.2">
      <c r="B26" t="s">
        <v>405</v>
      </c>
      <c r="C26">
        <v>1</v>
      </c>
      <c r="D26">
        <v>2</v>
      </c>
    </row>
    <row r="27" spans="2:4" x14ac:dyDescent="0.2">
      <c r="C27">
        <v>3</v>
      </c>
      <c r="D27">
        <v>4</v>
      </c>
    </row>
    <row r="28" spans="2:4" x14ac:dyDescent="0.2">
      <c r="C28" t="s">
        <v>391</v>
      </c>
      <c r="D28">
        <f>SUBTOTAL(109,Table4910[Column2])</f>
        <v>6</v>
      </c>
    </row>
    <row r="30" spans="2:4" x14ac:dyDescent="0.2">
      <c r="B30" t="s">
        <v>406</v>
      </c>
      <c r="C30" t="s">
        <v>407</v>
      </c>
      <c r="D30" t="s">
        <v>408</v>
      </c>
    </row>
    <row r="31" spans="2:4" hidden="1" x14ac:dyDescent="0.2">
      <c r="C31" t="s">
        <v>409</v>
      </c>
      <c r="D31" t="s">
        <v>409</v>
      </c>
    </row>
    <row r="32" spans="2:4" x14ac:dyDescent="0.2">
      <c r="C32" t="s">
        <v>410</v>
      </c>
      <c r="D32" t="s">
        <v>410</v>
      </c>
    </row>
    <row r="34" spans="2:2" x14ac:dyDescent="0.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 x14ac:dyDescent="0.2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 x14ac:dyDescent="0.2">
      <c r="A1" s="92" t="s">
        <v>412</v>
      </c>
      <c r="B1" s="17"/>
      <c r="C1" s="17"/>
      <c r="D1" s="17"/>
      <c r="E1" s="17"/>
      <c r="F1" s="17"/>
    </row>
    <row r="2" spans="1:12" x14ac:dyDescent="0.2">
      <c r="A2" s="117"/>
      <c r="B2" s="117"/>
      <c r="C2" s="117"/>
      <c r="D2" s="117"/>
      <c r="E2" s="117"/>
      <c r="F2" s="117"/>
    </row>
    <row r="3" spans="1:12" x14ac:dyDescent="0.2">
      <c r="A3" s="117"/>
      <c r="B3" s="117"/>
      <c r="C3" s="89" t="s">
        <v>413</v>
      </c>
      <c r="D3" s="89" t="s">
        <v>414</v>
      </c>
    </row>
    <row r="4" spans="1:12" x14ac:dyDescent="0.2">
      <c r="A4" s="117"/>
      <c r="B4" s="117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 x14ac:dyDescent="0.2">
      <c r="A5" s="117"/>
      <c r="B5" s="117"/>
      <c r="C5" s="90" t="s">
        <v>55</v>
      </c>
      <c r="K5">
        <v>30</v>
      </c>
      <c r="L5">
        <v>30</v>
      </c>
    </row>
    <row r="6" spans="1:12" x14ac:dyDescent="0.2">
      <c r="A6" s="117"/>
      <c r="B6" s="117"/>
      <c r="C6" s="91">
        <v>256018</v>
      </c>
      <c r="K6">
        <v>30</v>
      </c>
      <c r="L6">
        <v>30</v>
      </c>
    </row>
    <row r="7" spans="1:12" x14ac:dyDescent="0.2">
      <c r="A7" s="117"/>
      <c r="B7" s="117"/>
      <c r="C7" s="90" t="s">
        <v>46</v>
      </c>
      <c r="E7">
        <v>26</v>
      </c>
      <c r="L7">
        <v>26</v>
      </c>
    </row>
    <row r="8" spans="1:12" x14ac:dyDescent="0.2">
      <c r="A8" s="117"/>
      <c r="B8" s="117"/>
      <c r="C8" s="91">
        <v>110120.5</v>
      </c>
      <c r="E8">
        <v>26</v>
      </c>
      <c r="L8">
        <v>26</v>
      </c>
    </row>
    <row r="9" spans="1:12" x14ac:dyDescent="0.2">
      <c r="A9" s="117"/>
      <c r="B9" s="117"/>
      <c r="C9" s="90" t="s">
        <v>42</v>
      </c>
      <c r="G9">
        <v>26</v>
      </c>
      <c r="L9">
        <v>26</v>
      </c>
    </row>
    <row r="10" spans="1:12" x14ac:dyDescent="0.2">
      <c r="A10" s="117"/>
      <c r="B10" s="117"/>
      <c r="C10" s="91">
        <v>25618</v>
      </c>
      <c r="G10">
        <v>26</v>
      </c>
      <c r="L10">
        <v>26</v>
      </c>
    </row>
    <row r="11" spans="1:12" x14ac:dyDescent="0.2">
      <c r="C11" s="90" t="s">
        <v>44</v>
      </c>
      <c r="F11">
        <v>13</v>
      </c>
      <c r="L11">
        <v>13</v>
      </c>
    </row>
    <row r="12" spans="1:12" x14ac:dyDescent="0.2">
      <c r="C12" s="91">
        <v>23000</v>
      </c>
      <c r="F12">
        <v>13</v>
      </c>
      <c r="L12">
        <v>13</v>
      </c>
    </row>
    <row r="13" spans="1:12" x14ac:dyDescent="0.2">
      <c r="C13" s="90" t="s">
        <v>50</v>
      </c>
      <c r="D13">
        <v>9</v>
      </c>
      <c r="L13">
        <v>9</v>
      </c>
    </row>
    <row r="14" spans="1:12" x14ac:dyDescent="0.2">
      <c r="C14" s="91">
        <v>2</v>
      </c>
      <c r="D14">
        <v>9</v>
      </c>
      <c r="L14">
        <v>9</v>
      </c>
    </row>
    <row r="15" spans="1:12" x14ac:dyDescent="0.2">
      <c r="C15" s="90" t="s">
        <v>48</v>
      </c>
      <c r="I15">
        <v>42</v>
      </c>
      <c r="L15">
        <v>42</v>
      </c>
    </row>
    <row r="16" spans="1:12" x14ac:dyDescent="0.2">
      <c r="C16" s="91">
        <v>50024</v>
      </c>
      <c r="I16">
        <v>42</v>
      </c>
      <c r="L16">
        <v>42</v>
      </c>
    </row>
    <row r="17" spans="3:12" x14ac:dyDescent="0.2">
      <c r="C17" s="90" t="s">
        <v>53</v>
      </c>
      <c r="H17">
        <v>27</v>
      </c>
      <c r="L17">
        <v>27</v>
      </c>
    </row>
    <row r="18" spans="3:12" x14ac:dyDescent="0.2">
      <c r="C18" s="91">
        <v>189576</v>
      </c>
      <c r="H18">
        <v>27</v>
      </c>
      <c r="L18">
        <v>27</v>
      </c>
    </row>
    <row r="19" spans="3:12" x14ac:dyDescent="0.2">
      <c r="C19" s="90" t="s">
        <v>57</v>
      </c>
      <c r="J19">
        <v>37</v>
      </c>
      <c r="L19">
        <v>37</v>
      </c>
    </row>
    <row r="20" spans="3:12" x14ac:dyDescent="0.2">
      <c r="C20" s="91">
        <v>5000</v>
      </c>
      <c r="J20">
        <v>37</v>
      </c>
      <c r="L20">
        <v>37</v>
      </c>
    </row>
    <row r="21" spans="3:12" x14ac:dyDescent="0.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opLeftCell="A71" zoomScaleNormal="100" workbookViewId="0">
      <selection activeCell="B58" sqref="B58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>
    <row r="1" spans="1:2" x14ac:dyDescent="0.2">
      <c r="A1" t="s">
        <v>417</v>
      </c>
    </row>
    <row r="2" spans="1:2" x14ac:dyDescent="0.2">
      <c r="A2" t="s">
        <v>418</v>
      </c>
      <c r="B2" s="117"/>
    </row>
    <row r="3" spans="1:2" x14ac:dyDescent="0.2">
      <c r="A3" t="s">
        <v>419</v>
      </c>
    </row>
    <row r="4" spans="1:2" x14ac:dyDescent="0.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defaultColWidth="8.85546875" defaultRowHeight="12.75" x14ac:dyDescent="0.2"/>
  <sheetData>
    <row r="1" spans="1:2" ht="51" x14ac:dyDescent="0.2">
      <c r="A1" s="99" t="s">
        <v>421</v>
      </c>
      <c r="B1" t="s">
        <v>422</v>
      </c>
    </row>
    <row r="7" spans="1:2" x14ac:dyDescent="0.2">
      <c r="A7" t="s">
        <v>407</v>
      </c>
      <c r="B7" t="s">
        <v>408</v>
      </c>
    </row>
    <row r="8" spans="1:2" x14ac:dyDescent="0.2">
      <c r="A8">
        <v>1</v>
      </c>
      <c r="B8">
        <v>1</v>
      </c>
    </row>
    <row r="9" spans="1:2" x14ac:dyDescent="0.2">
      <c r="A9">
        <v>2</v>
      </c>
      <c r="B9">
        <v>2</v>
      </c>
    </row>
    <row r="10" spans="1:2" x14ac:dyDescent="0.2">
      <c r="A10">
        <v>3</v>
      </c>
      <c r="B10">
        <v>3</v>
      </c>
    </row>
    <row r="11" spans="1:2" x14ac:dyDescent="0.2">
      <c r="A11">
        <v>4</v>
      </c>
      <c r="B11">
        <v>4</v>
      </c>
    </row>
    <row r="12" spans="1:2" x14ac:dyDescent="0.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topRight" activeCell="H9" sqref="H9"/>
      <selection pane="bottomLeft" activeCell="H9" sqref="H9"/>
      <selection pane="bottomRight" activeCell="H9" sqref="H9"/>
    </sheetView>
  </sheetViews>
  <sheetFormatPr defaultColWidth="11.42578125"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I6"/>
  <sheetViews>
    <sheetView workbookViewId="0">
      <selection activeCell="F19" sqref="F19"/>
    </sheetView>
  </sheetViews>
  <sheetFormatPr defaultRowHeight="12.75" x14ac:dyDescent="0.2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</cols>
  <sheetData>
    <row r="1" spans="1:9" x14ac:dyDescent="0.2">
      <c r="A1" s="114" t="s">
        <v>423</v>
      </c>
      <c r="B1" s="115" t="s">
        <v>424</v>
      </c>
      <c r="C1" s="115" t="s">
        <v>425</v>
      </c>
      <c r="D1" s="115" t="s">
        <v>426</v>
      </c>
      <c r="E1" s="115" t="s">
        <v>427</v>
      </c>
      <c r="F1" s="115" t="s">
        <v>428</v>
      </c>
      <c r="G1" s="115" t="s">
        <v>429</v>
      </c>
      <c r="H1" s="115" t="s">
        <v>430</v>
      </c>
      <c r="I1" s="116" t="s">
        <v>431</v>
      </c>
    </row>
    <row r="2" spans="1:9" x14ac:dyDescent="0.2">
      <c r="A2" s="104">
        <v>4</v>
      </c>
      <c r="B2" s="105">
        <v>99.5</v>
      </c>
      <c r="C2" s="105">
        <v>1</v>
      </c>
      <c r="D2" s="105" t="s">
        <v>432</v>
      </c>
      <c r="E2" s="106">
        <v>45575</v>
      </c>
      <c r="F2" s="107">
        <v>0.64583333333333337</v>
      </c>
      <c r="G2" s="107" t="s">
        <v>433</v>
      </c>
      <c r="H2" s="106">
        <v>45292</v>
      </c>
      <c r="I2" s="108">
        <v>4</v>
      </c>
    </row>
    <row r="3" spans="1:9" x14ac:dyDescent="0.2">
      <c r="A3" s="104">
        <v>3</v>
      </c>
      <c r="B3" s="105">
        <v>40</v>
      </c>
      <c r="C3" s="105">
        <v>2</v>
      </c>
      <c r="D3" s="105" t="s">
        <v>434</v>
      </c>
      <c r="E3" s="106">
        <v>45576</v>
      </c>
      <c r="F3" s="107">
        <v>0.57638888888888884</v>
      </c>
      <c r="G3" s="107" t="s">
        <v>435</v>
      </c>
      <c r="H3" s="106">
        <v>45231</v>
      </c>
      <c r="I3" s="108" t="s">
        <v>433</v>
      </c>
    </row>
    <row r="4" spans="1:9" x14ac:dyDescent="0.2">
      <c r="A4" s="104">
        <v>9</v>
      </c>
      <c r="B4" s="105">
        <v>0</v>
      </c>
      <c r="C4" s="105">
        <v>3</v>
      </c>
      <c r="D4" s="105" t="s">
        <v>436</v>
      </c>
      <c r="E4" s="106">
        <v>45574</v>
      </c>
      <c r="F4" s="107">
        <v>0.73958333333333337</v>
      </c>
      <c r="G4" s="107" t="s">
        <v>437</v>
      </c>
      <c r="H4" s="106">
        <v>45325</v>
      </c>
      <c r="I4" s="108">
        <v>3</v>
      </c>
    </row>
    <row r="5" spans="1:9" x14ac:dyDescent="0.2">
      <c r="A5" s="104">
        <v>5</v>
      </c>
      <c r="B5" s="105">
        <v>120</v>
      </c>
      <c r="C5" s="105">
        <v>4</v>
      </c>
      <c r="D5" s="105" t="s">
        <v>434</v>
      </c>
      <c r="E5" s="106">
        <v>45573</v>
      </c>
      <c r="F5" s="107">
        <v>0.66666666666666663</v>
      </c>
      <c r="G5" s="105" t="s">
        <v>438</v>
      </c>
      <c r="H5" s="106">
        <v>45084</v>
      </c>
      <c r="I5" s="108">
        <v>3</v>
      </c>
    </row>
    <row r="6" spans="1:9" x14ac:dyDescent="0.2">
      <c r="A6" s="109">
        <v>7</v>
      </c>
      <c r="B6" s="110">
        <v>12</v>
      </c>
      <c r="C6" s="110">
        <v>5</v>
      </c>
      <c r="D6" s="110" t="s">
        <v>436</v>
      </c>
      <c r="E6" s="111">
        <v>45566</v>
      </c>
      <c r="F6" s="112">
        <v>0.5229166666666667</v>
      </c>
      <c r="G6" s="110" t="s">
        <v>439</v>
      </c>
      <c r="H6" s="111">
        <v>45420</v>
      </c>
      <c r="I6" s="113" t="s">
        <v>438</v>
      </c>
    </row>
  </sheetData>
  <dataValidations count="9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  <vt:lpstr>jestDataValidations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Dhrutik Patel</cp:lastModifiedBy>
  <cp:revision/>
  <dcterms:created xsi:type="dcterms:W3CDTF">2022-02-10T15:47:12Z</dcterms:created>
  <dcterms:modified xsi:type="dcterms:W3CDTF">2025-09-05T16:55:18Z</dcterms:modified>
  <cp:category/>
  <cp:contentStatus/>
</cp:coreProperties>
</file>