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ham/Google Drive/Projects/screeps-ai/"/>
    </mc:Choice>
  </mc:AlternateContent>
  <xr:revisionPtr revIDLastSave="0" documentId="13_ncr:1_{72CDA7CB-7CC2-5C4B-AC6A-81A20E6CB426}" xr6:coauthVersionLast="45" xr6:coauthVersionMax="45" xr10:uidLastSave="{00000000-0000-0000-0000-000000000000}"/>
  <bookViews>
    <workbookView xWindow="20" yWindow="460" windowWidth="38400" windowHeight="19540" activeTab="1" xr2:uid="{702EDD4F-ACD3-0341-9AE5-54C1547781D7}"/>
  </bookViews>
  <sheets>
    <sheet name="Remote harvest" sheetId="1" r:id="rId1"/>
    <sheet name="Guard bo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2" l="1"/>
  <c r="E13" i="2" s="1"/>
  <c r="G13" i="2" s="1" a="1"/>
  <c r="G13" i="2" s="1"/>
  <c r="D14" i="2"/>
  <c r="E14" i="2" s="1"/>
  <c r="G14" i="2" s="1" a="1"/>
  <c r="G14" i="2" s="1"/>
  <c r="D15" i="2"/>
  <c r="E15" i="2" s="1"/>
  <c r="G15" i="2" s="1" a="1"/>
  <c r="G15" i="2" s="1"/>
  <c r="D16" i="2"/>
  <c r="D17" i="2"/>
  <c r="E17" i="2" s="1"/>
  <c r="G17" i="2" s="1" a="1"/>
  <c r="G17" i="2" s="1"/>
  <c r="D18" i="2"/>
  <c r="E18" i="2" s="1"/>
  <c r="G18" i="2" s="1" a="1"/>
  <c r="G18" i="2" s="1"/>
  <c r="E16" i="2"/>
  <c r="G16" i="2" s="1" a="1"/>
  <c r="G16" i="2" s="1"/>
  <c r="F13" i="2"/>
  <c r="F14" i="2"/>
  <c r="F16" i="2"/>
  <c r="F17" i="2"/>
  <c r="D12" i="2"/>
  <c r="E12" i="2" s="1"/>
  <c r="G12" i="2" s="1" a="1"/>
  <c r="G12" i="2" s="1"/>
  <c r="E8" i="2"/>
  <c r="G8" i="2" s="1" a="1"/>
  <c r="G8" i="2" s="1"/>
  <c r="D9" i="2"/>
  <c r="E9" i="2" s="1"/>
  <c r="G9" i="2" s="1" a="1"/>
  <c r="G9" i="2" s="1"/>
  <c r="D10" i="2"/>
  <c r="E10" i="2" s="1"/>
  <c r="G10" i="2" s="1" a="1"/>
  <c r="G10" i="2" s="1"/>
  <c r="D11" i="2"/>
  <c r="E11" i="2" s="1"/>
  <c r="G11" i="2" s="1" a="1"/>
  <c r="G11" i="2" s="1"/>
  <c r="E4" i="2"/>
  <c r="G4" i="2" s="1" a="1"/>
  <c r="G4" i="2" s="1"/>
  <c r="E5" i="2"/>
  <c r="G5" i="2" s="1" a="1"/>
  <c r="G5" i="2" s="1"/>
  <c r="E6" i="2"/>
  <c r="G6" i="2" s="1" a="1"/>
  <c r="G6" i="2" s="1"/>
  <c r="F7" i="2"/>
  <c r="F2" i="2"/>
  <c r="E3" i="2"/>
  <c r="G3" i="2" s="1" a="1"/>
  <c r="G3" i="2" s="1"/>
  <c r="F18" i="2" l="1"/>
  <c r="F15" i="2"/>
  <c r="F11" i="2"/>
  <c r="F10" i="2"/>
  <c r="F12" i="2"/>
  <c r="F6" i="2"/>
  <c r="F9" i="2"/>
  <c r="F5" i="2"/>
  <c r="F8" i="2"/>
  <c r="E7" i="2"/>
  <c r="G7" i="2" s="1" a="1"/>
  <c r="G7" i="2" s="1"/>
  <c r="F4" i="2"/>
  <c r="F3" i="2"/>
  <c r="E2" i="2"/>
  <c r="G2" i="2" s="1" a="1"/>
  <c r="G2" i="2" s="1"/>
  <c r="F27" i="1"/>
  <c r="M27" i="1" s="1"/>
  <c r="F28" i="1"/>
  <c r="F29" i="1"/>
  <c r="M29" i="1" s="1"/>
  <c r="F30" i="1"/>
  <c r="M30" i="1" s="1"/>
  <c r="G27" i="1"/>
  <c r="I27" i="1" s="1" a="1"/>
  <c r="I27" i="1" s="1"/>
  <c r="L27" i="1" s="1"/>
  <c r="G28" i="1"/>
  <c r="I28" i="1" s="1" a="1"/>
  <c r="I28" i="1" s="1"/>
  <c r="L28" i="1" s="1"/>
  <c r="G29" i="1"/>
  <c r="G30" i="1"/>
  <c r="I29" i="1" a="1"/>
  <c r="I29" i="1" s="1"/>
  <c r="L29" i="1" s="1"/>
  <c r="I30" i="1" a="1"/>
  <c r="I30" i="1" s="1"/>
  <c r="L30" i="1" s="1"/>
  <c r="J27" i="1" a="1"/>
  <c r="J27" i="1" s="1"/>
  <c r="K27" i="1" s="1" a="1"/>
  <c r="K27" i="1" s="1"/>
  <c r="J28" i="1" a="1"/>
  <c r="J28" i="1" s="1"/>
  <c r="K28" i="1" s="1" a="1"/>
  <c r="K28" i="1" s="1"/>
  <c r="J29" i="1" a="1"/>
  <c r="J29" i="1" s="1"/>
  <c r="K29" i="1" s="1" a="1"/>
  <c r="K29" i="1" s="1"/>
  <c r="J30" i="1" a="1"/>
  <c r="J30" i="1" s="1"/>
  <c r="K30" i="1" s="1" a="1"/>
  <c r="K30" i="1" s="1"/>
  <c r="M28" i="1"/>
  <c r="F26" i="1"/>
  <c r="G26" i="1"/>
  <c r="J26" i="1" a="1"/>
  <c r="J26" i="1" s="1"/>
  <c r="K26" i="1" s="1" a="1"/>
  <c r="K26" i="1" s="1"/>
  <c r="F25" i="1"/>
  <c r="M25" i="1" s="1"/>
  <c r="G25" i="1"/>
  <c r="I25" i="1" a="1"/>
  <c r="I25" i="1" s="1"/>
  <c r="L25" i="1" s="1"/>
  <c r="J25" i="1" a="1"/>
  <c r="J25" i="1" s="1"/>
  <c r="K25" i="1" s="1" a="1"/>
  <c r="K25" i="1" s="1"/>
  <c r="F24" i="1"/>
  <c r="M24" i="1" s="1"/>
  <c r="G24" i="1"/>
  <c r="J24" i="1" a="1"/>
  <c r="J24" i="1" s="1"/>
  <c r="K24" i="1" s="1" a="1"/>
  <c r="K24" i="1" s="1"/>
  <c r="J23" i="1" a="1"/>
  <c r="J23" i="1" s="1"/>
  <c r="K23" i="1" s="1" a="1"/>
  <c r="K23" i="1" s="1"/>
  <c r="G23" i="1"/>
  <c r="F23" i="1"/>
  <c r="M23" i="1" s="1"/>
  <c r="B36" i="1"/>
  <c r="C36" i="1"/>
  <c r="D36" i="1"/>
  <c r="E36" i="1"/>
  <c r="F36" i="1"/>
  <c r="G36" i="1"/>
  <c r="H36" i="1"/>
  <c r="I36" i="1"/>
  <c r="M16" i="1"/>
  <c r="J17" i="1" a="1"/>
  <c r="J17" i="1" s="1"/>
  <c r="K17" i="1" s="1" a="1"/>
  <c r="K17" i="1" s="1"/>
  <c r="J18" i="1" a="1"/>
  <c r="J18" i="1" s="1"/>
  <c r="K18" i="1" s="1" a="1"/>
  <c r="K18" i="1" s="1"/>
  <c r="J19" i="1" a="1"/>
  <c r="J19" i="1" s="1"/>
  <c r="K19" i="1" s="1" a="1"/>
  <c r="K19" i="1" s="1"/>
  <c r="J20" i="1" a="1"/>
  <c r="J20" i="1" s="1"/>
  <c r="K20" i="1" s="1" a="1"/>
  <c r="K20" i="1" s="1"/>
  <c r="J16" i="1" a="1"/>
  <c r="J16" i="1" s="1"/>
  <c r="K16" i="1" s="1" a="1"/>
  <c r="K16" i="1" s="1"/>
  <c r="G16" i="1"/>
  <c r="G17" i="1"/>
  <c r="G18" i="1"/>
  <c r="G19" i="1"/>
  <c r="G20" i="1"/>
  <c r="F17" i="1"/>
  <c r="F18" i="1"/>
  <c r="I18" i="1" s="1" a="1"/>
  <c r="I18" i="1" s="1"/>
  <c r="L18" i="1" s="1"/>
  <c r="F19" i="1"/>
  <c r="I19" i="1" s="1" a="1"/>
  <c r="I19" i="1" s="1"/>
  <c r="L19" i="1" s="1"/>
  <c r="F20" i="1"/>
  <c r="I20" i="1" s="1" a="1"/>
  <c r="I20" i="1" s="1"/>
  <c r="L20" i="1" s="1"/>
  <c r="F16" i="1"/>
  <c r="G13" i="1"/>
  <c r="D13" i="1"/>
  <c r="G12" i="1"/>
  <c r="D12" i="1"/>
  <c r="G11" i="1"/>
  <c r="D11" i="1"/>
  <c r="G10" i="1"/>
  <c r="D10" i="1"/>
  <c r="G9" i="1"/>
  <c r="D9" i="1"/>
  <c r="E9" i="1" s="1"/>
  <c r="I9" i="1" s="1" a="1"/>
  <c r="I9" i="1" s="1"/>
  <c r="J9" i="1" s="1" a="1"/>
  <c r="J9" i="1" s="1"/>
  <c r="D4" i="1"/>
  <c r="E4" i="1" s="1"/>
  <c r="D5" i="1"/>
  <c r="D6" i="1"/>
  <c r="E6" i="1" s="1"/>
  <c r="G4" i="1"/>
  <c r="G5" i="1"/>
  <c r="G6" i="1"/>
  <c r="D3" i="1"/>
  <c r="G3" i="1"/>
  <c r="G2" i="1"/>
  <c r="D2" i="1"/>
  <c r="E2" i="1" s="1"/>
  <c r="I16" i="1" l="1" a="1"/>
  <c r="I16" i="1" s="1"/>
  <c r="L16" i="1" s="1"/>
  <c r="I17" i="1" a="1"/>
  <c r="I17" i="1" s="1"/>
  <c r="L17" i="1" s="1"/>
  <c r="M20" i="1"/>
  <c r="M19" i="1"/>
  <c r="M18" i="1"/>
  <c r="M17" i="1"/>
  <c r="I26" i="1" a="1"/>
  <c r="I26" i="1" s="1"/>
  <c r="L26" i="1" s="1"/>
  <c r="M26" i="1"/>
  <c r="I24" i="1" a="1"/>
  <c r="I24" i="1" s="1"/>
  <c r="L24" i="1" s="1"/>
  <c r="I23" i="1" a="1"/>
  <c r="I23" i="1" s="1"/>
  <c r="L23" i="1" s="1"/>
  <c r="H2" i="1" a="1"/>
  <c r="H2" i="1" s="1"/>
  <c r="K2" i="1" s="1"/>
  <c r="E12" i="1"/>
  <c r="H12" i="1" s="1" a="1"/>
  <c r="H12" i="1" s="1"/>
  <c r="K12" i="1" s="1"/>
  <c r="H9" i="1" a="1"/>
  <c r="H9" i="1" s="1"/>
  <c r="K9" i="1" s="1"/>
  <c r="E11" i="1"/>
  <c r="H11" i="1" s="1" a="1"/>
  <c r="H11" i="1" s="1"/>
  <c r="K11" i="1" s="1"/>
  <c r="E13" i="1"/>
  <c r="H13" i="1" s="1" a="1"/>
  <c r="H13" i="1" s="1"/>
  <c r="K13" i="1" s="1"/>
  <c r="E10" i="1"/>
  <c r="H10" i="1" s="1" a="1"/>
  <c r="H10" i="1" s="1"/>
  <c r="K10" i="1" s="1"/>
  <c r="H6" i="1" a="1"/>
  <c r="H6" i="1" s="1"/>
  <c r="K6" i="1" s="1"/>
  <c r="H4" i="1" a="1"/>
  <c r="H4" i="1" s="1"/>
  <c r="K4" i="1" s="1"/>
  <c r="I2" i="1" a="1"/>
  <c r="I2" i="1" s="1"/>
  <c r="J2" i="1" s="1" a="1"/>
  <c r="J2" i="1" s="1"/>
  <c r="I6" i="1" a="1"/>
  <c r="I6" i="1" s="1"/>
  <c r="J6" i="1" s="1" a="1"/>
  <c r="J6" i="1" s="1"/>
  <c r="I4" i="1" a="1"/>
  <c r="I4" i="1" s="1"/>
  <c r="J4" i="1" s="1" a="1"/>
  <c r="J4" i="1" s="1"/>
  <c r="E3" i="1"/>
  <c r="E5" i="1"/>
  <c r="I12" i="1" l="1" a="1"/>
  <c r="I12" i="1" s="1"/>
  <c r="J12" i="1" s="1" a="1"/>
  <c r="J12" i="1" s="1"/>
  <c r="I13" i="1" a="1"/>
  <c r="I13" i="1" s="1"/>
  <c r="J13" i="1" s="1" a="1"/>
  <c r="J13" i="1" s="1"/>
  <c r="I10" i="1" a="1"/>
  <c r="I10" i="1" s="1"/>
  <c r="J10" i="1" s="1" a="1"/>
  <c r="J10" i="1" s="1"/>
  <c r="I11" i="1" a="1"/>
  <c r="I11" i="1" s="1"/>
  <c r="J11" i="1" s="1" a="1"/>
  <c r="J11" i="1" s="1"/>
  <c r="H5" i="1" a="1"/>
  <c r="H5" i="1" s="1"/>
  <c r="K5" i="1" s="1"/>
  <c r="H3" i="1" a="1"/>
  <c r="H3" i="1" s="1"/>
  <c r="K3" i="1" s="1"/>
  <c r="I3" i="1" a="1"/>
  <c r="I3" i="1" s="1"/>
  <c r="J3" i="1" s="1" a="1"/>
  <c r="J3" i="1" s="1"/>
  <c r="I5" i="1" a="1"/>
  <c r="I5" i="1" s="1"/>
  <c r="J5" i="1" s="1" a="1"/>
  <c r="J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<sst xmlns="http://schemas.openxmlformats.org/spreadsheetml/2006/main" count="74" uniqueCount="41">
  <si>
    <t>work</t>
  </si>
  <si>
    <t>carry</t>
  </si>
  <si>
    <t>move</t>
  </si>
  <si>
    <t>cost</t>
  </si>
  <si>
    <t>distance</t>
  </si>
  <si>
    <t>capacity</t>
  </si>
  <si>
    <t>net</t>
  </si>
  <si>
    <t>Column1</t>
  </si>
  <si>
    <t>lifespan</t>
  </si>
  <si>
    <t>regen time</t>
  </si>
  <si>
    <t>ticks to fill</t>
  </si>
  <si>
    <t>source total</t>
  </si>
  <si>
    <t>ticks to empty source</t>
  </si>
  <si>
    <t>number needed</t>
  </si>
  <si>
    <t>roi</t>
  </si>
  <si>
    <t>hauler carry</t>
  </si>
  <si>
    <t>hauler move</t>
  </si>
  <si>
    <t>harvesters needed</t>
  </si>
  <si>
    <t>haulers needed per harvester</t>
  </si>
  <si>
    <t>// "spawn": {0: 0, 1: 1, 2: 1, 3: 1, 4: 1, 5: 1, 6: 1, 7: 2, 8: 3},</t>
  </si>
  <si>
    <t>// "extension": {0: 0, 1: 0, 2: 5, 3: 10, 4: 20, 5: 30, 6: 40, 7: 50, 8: 60},</t>
  </si>
  <si>
    <t>RCL1</t>
  </si>
  <si>
    <t>RCL2</t>
  </si>
  <si>
    <t>RCL3</t>
  </si>
  <si>
    <t>RCL4</t>
  </si>
  <si>
    <t>RCL5</t>
  </si>
  <si>
    <t>RCL6</t>
  </si>
  <si>
    <t>RCL7</t>
  </si>
  <si>
    <t>RCL8</t>
  </si>
  <si>
    <t>extensions</t>
  </si>
  <si>
    <t>spawns</t>
  </si>
  <si>
    <t>total</t>
  </si>
  <si>
    <t>RCL</t>
  </si>
  <si>
    <t>Attack</t>
  </si>
  <si>
    <t>Hits</t>
  </si>
  <si>
    <t>Cost</t>
  </si>
  <si>
    <t>Move</t>
  </si>
  <si>
    <t>Tough</t>
  </si>
  <si>
    <t>attack</t>
  </si>
  <si>
    <t>hits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</si>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</sst>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19">
    <dxf>
      <font>
        <color rgb="FF9C5700"/>
      </font>
      <fill>
        <patternFill>
          <bgColor rgb="FFFFEB9C"/>
        </patternFill>
      </fill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159FF-723F-4841-B7BC-A2F04DAD8B61}" name="Importers" displayName="Importers" ref="A1:K6" totalsRowShown="0">
  <autoFilter ref="A1:K6" xr:uid="{C3B63CC0-9280-3047-97B6-78FBD82D2C30}"/>
  <tableColumns count="11">
    <tableColumn id="1" xr3:uid="{20D84F28-2ADB-624A-B9DA-FC46B397BA58}" name="work"/>
    <tableColumn id="2" xr3:uid="{D868BC7E-18AD-3B4C-9663-7A93745D9831}" name="carry"/>
    <tableColumn id="3" xr3:uid="{D7DACBEA-E882-D342-817F-5B601A29CF85}" name="move"/>
    <tableColumn id="4" xr3:uid="{767E2E8C-26BD-0842-BE84-CE4A0FA3A75E}" name="capacity">
      <calculatedColumnFormula>Importers[[#This Row],[carry]]*50</calculatedColumnFormula>
    </tableColumn>
    <tableColumn id="9" xr3:uid="{848D97A5-7ABC-9148-B57F-5E1CDFF8B768}" name="ticks to fill" dataDxfId="18">
      <calculatedColumnFormula>Importers[[#This Row],[capacity]]/(Importers[[#This Row],[work]]*2)</calculatedColumnFormula>
    </tableColumn>
    <tableColumn id="5" xr3:uid="{F60BAB4A-6A2F-8C41-A44D-9F8E59F9160E}" name="distance"/>
    <tableColumn id="8" xr3:uid="{2727517D-38BA-0949-9891-1A46B0AF0CBA}" name="cost">
      <calculatedColumnFormula>Importers[[#This Row],[work]]*100+Importers[[#This Row],[carry]]*50+Importers[[#This Row],[move]]*50</calculatedColumnFormula>
    </tableColumn>
    <tableColumn id="7" xr3:uid="{0F5622C9-6A8D-764F-BC14-9384F63ADEE8}" name="net" dataDxfId="17">
      <calculatedColumnFormula array="1">Constants[lifespan]/(Importers[[#This Row],[ticks to fill]]+Importers[[#This Row],[distance]]*2)*Importers[[#This Row],[capacity]]-Importers[[#This Row],[cost]]</calculatedColumnFormula>
    </tableColumn>
    <tableColumn id="10" xr3:uid="{CDA39E9D-D698-7345-8299-ED1F11A8A2BB}" name="ticks to empty source" dataDxfId="16">
      <calculatedColumnFormula array="1">(Constants[source total]/Importers[[#This Row],[capacity]])*(Importers[[#This Row],[ticks to fill]]+Importers[[#This Row],[distance]]*2)</calculatedColumnFormula>
    </tableColumn>
    <tableColumn id="11" xr3:uid="{B5B90B66-A1D4-4944-908B-6366CF1A0AB5}" name="number needed" dataDxfId="15">
      <calculatedColumnFormula array="1">Importers[[#This Row],[ticks to empty source]]/Constants[regen time]</calculatedColumnFormula>
    </tableColumn>
    <tableColumn id="12" xr3:uid="{163841DE-D1BC-314B-972D-20EB34B2EDF1}" name="roi" dataCellStyle="Percent">
      <calculatedColumnFormula>Importers[[#This Row],[net]]/Importers[[#This Row],[cost]]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9FDA4-FD1B-7F4B-83AE-94342451813B}" name="Constants" displayName="Constants" ref="P2:R3" totalsRowShown="0">
  <autoFilter ref="P2:R3" xr:uid="{7974D819-6A5A-E44C-872D-B3C868AD70C1}"/>
  <tableColumns count="3">
    <tableColumn id="1" xr3:uid="{12238661-5B00-D640-9A86-CEF5D3CFFB30}" name="lifespan"/>
    <tableColumn id="2" xr3:uid="{8F3AC814-017C-824B-B8C0-12AC16C6F558}" name="regen time"/>
    <tableColumn id="3" xr3:uid="{28923578-B3AD-A642-8A44-C5B87DC2C748}" name="source total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D98F9-8203-D948-81D8-F039A1F1ADBA}" name="Importers4" displayName="Importers4" ref="A8:K13" totalsRowShown="0">
  <autoFilter ref="A8:K13" xr:uid="{86536931-EB05-3F4F-B50A-711759E9ED32}"/>
  <tableColumns count="11">
    <tableColumn id="1" xr3:uid="{A0E205B1-E594-734B-9457-306EFA365276}" name="work"/>
    <tableColumn id="2" xr3:uid="{C1614704-4419-854C-9EE1-1177AC8172A2}" name="carry"/>
    <tableColumn id="3" xr3:uid="{458D4F27-341F-2141-80F2-4887DE462D5B}" name="move"/>
    <tableColumn id="4" xr3:uid="{6AE2C099-8599-3549-8DDA-FBF0625BEC16}" name="capacity">
      <calculatedColumnFormula>Importers4[[#This Row],[carry]]*50</calculatedColumnFormula>
    </tableColumn>
    <tableColumn id="9" xr3:uid="{62C5912D-8FA5-5148-A8EE-0AD120D9F4C1}" name="ticks to fill" dataDxfId="14">
      <calculatedColumnFormula>Importers4[[#This Row],[capacity]]/(Importers4[[#This Row],[work]]*2)</calculatedColumnFormula>
    </tableColumn>
    <tableColumn id="5" xr3:uid="{8B979FEB-92C5-9F47-ABCF-CA652C6E18C4}" name="distance"/>
    <tableColumn id="8" xr3:uid="{A73A7063-BACE-0748-81EB-0ED5DCF0D417}" name="cost">
      <calculatedColumnFormula>Importers4[[#This Row],[work]]*100+Importers4[[#This Row],[carry]]*50+Importers4[[#This Row],[move]]*50</calculatedColumnFormula>
    </tableColumn>
    <tableColumn id="7" xr3:uid="{CE37062C-9D8D-3D44-890E-8D0C627D0043}" name="net" dataDxfId="13">
      <calculatedColumnFormula array="1">Constants[lifespan]/(Importers4[[#This Row],[ticks to fill]]+Importers4[[#This Row],[distance]]*2)*Importers4[[#This Row],[capacity]]-Importers4[[#This Row],[cost]]</calculatedColumnFormula>
    </tableColumn>
    <tableColumn id="10" xr3:uid="{D01F9FBD-CFF2-B448-90B6-16634F761C51}" name="ticks to empty source" dataDxfId="12">
      <calculatedColumnFormula array="1">(Constants[source total]/Importers4[[#This Row],[capacity]])*(Importers4[[#This Row],[ticks to fill]]+Importers4[[#This Row],[distance]]*2)</calculatedColumnFormula>
    </tableColumn>
    <tableColumn id="11" xr3:uid="{70A10B50-45AF-9E44-8346-534DC3ED4319}" name="number needed" dataDxfId="11">
      <calculatedColumnFormula array="1">Importers4[[#This Row],[ticks to empty source]]/Constants[regen time]</calculatedColumnFormula>
    </tableColumn>
    <tableColumn id="12" xr3:uid="{B5243EE0-2AB8-924A-9191-CDF14F5FFDDF}" name="roi" dataCellStyle="Percent">
      <calculatedColumnFormula>Importers4[[#This Row],[net]]/Importers4[[#This Row],[cost]]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8E8C9C-9A84-D948-8A79-24D06DE0682E}" name="Table4" displayName="Table4" ref="A15:M20" totalsRowShown="0">
  <autoFilter ref="A15:M20" xr:uid="{FF52ACBF-FCBE-5B43-B7CF-0B3EAC0D1FF5}"/>
  <tableColumns count="13">
    <tableColumn id="1" xr3:uid="{87CFFD5A-5AC6-8840-9B06-4B426FC31D65}" name="work"/>
    <tableColumn id="2" xr3:uid="{073F9500-1373-3446-8EE8-CA3785D237DF}" name="carry"/>
    <tableColumn id="3" xr3:uid="{CE8460D1-F91C-C244-996A-6A402764125A}" name="move"/>
    <tableColumn id="12" xr3:uid="{8556B3DA-FCE8-2D43-B153-9541F0EAED0B}" name="hauler carry"/>
    <tableColumn id="13" xr3:uid="{26DFC4B0-273B-8D41-9B1E-7411B2ED5D1F}" name="hauler move"/>
    <tableColumn id="4" xr3:uid="{41C77192-AD67-7C44-AE92-A2D8A6C07D56}" name="capacity">
      <calculatedColumnFormula>Table4[[#This Row],[hauler carry]]*50</calculatedColumnFormula>
    </tableColumn>
    <tableColumn id="7" xr3:uid="{21E1513C-3431-F942-BF49-A6BC4E3343C8}" name="cost" dataDxfId="10">
      <calculatedColumnFormula>Table4[[#This Row],[work]]*100+Table4[[#This Row],[carry]]*50+Table4[[#This Row],[move]]*50+Table4[[#This Row],[hauler carry]]*50+Table4[[#This Row],[hauler move]]*50</calculatedColumnFormula>
    </tableColumn>
    <tableColumn id="16" xr3:uid="{91D94484-9E4D-2C48-836E-E88AE711EF0A}" name="distance"/>
    <tableColumn id="8" xr3:uid="{FDDC9A75-EAEB-B944-8BD8-31F62718C6C3}" name="net">
      <calculatedColumnFormula array="1">Constants[lifespan]/(Table4[[#This Row],[distance]]*2)*Table4[[#This Row],[capacity]]-Table4[[#This Row],[cost]]</calculatedColumnFormula>
    </tableColumn>
    <tableColumn id="9" xr3:uid="{1CAB91AD-2C34-8345-9830-72568B5A868B}" name="ticks to empty source">
      <calculatedColumnFormula array="1">Constants[source total]/(Table4[[#This Row],[work]]*2)</calculatedColumnFormula>
    </tableColumn>
    <tableColumn id="10" xr3:uid="{21E1623C-9A47-9849-AF17-AF97CCF648FE}" name="harvesters needed" dataDxfId="9">
      <calculatedColumnFormula array="1">Table4[[#This Row],[ticks to empty source]]/Constants[regen time]</calculatedColumnFormula>
    </tableColumn>
    <tableColumn id="11" xr3:uid="{32370E60-593D-9243-A91E-042D93E97C0F}" name="roi" dataCellStyle="Percent">
      <calculatedColumnFormula>Table4[[#This Row],[net]]/Table4[[#This Row],[cost]]</calculatedColumnFormula>
    </tableColumn>
    <tableColumn id="17" xr3:uid="{2BE32D23-FBBF-384B-A584-F10E88628BE0}" name="haulers needed per harvester" dataDxfId="8">
      <calculatedColumnFormula>(Table4[[#This Row],[distance]]*2)*(Table4[[#This Row],[work]]*2)/Table4[[#This Row],[capacity]]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91A1F2-EAAA-7E46-B0E4-EE470C54BB4B}" name="storage" displayName="storage" ref="A33:I36" totalsRowShown="0">
  <autoFilter ref="A33:I36" xr:uid="{237DC2F8-6CF7-F146-B806-76B9FCCA7546}"/>
  <tableColumns count="9">
    <tableColumn id="1" xr3:uid="{12878E84-7AFE-0649-B9AF-385544F3C805}" name="Column1"/>
    <tableColumn id="2" xr3:uid="{E4538F93-9835-784B-AF16-75BF89095EA7}" name="RCL1"/>
    <tableColumn id="3" xr3:uid="{250A9AEF-BBF7-F14E-B609-E091FBB9B070}" name="RCL2"/>
    <tableColumn id="4" xr3:uid="{7296DFE6-7B56-F244-9121-A3E685471B5C}" name="RCL3"/>
    <tableColumn id="5" xr3:uid="{9201DBA7-1D0F-0341-B643-F52B8FC17891}" name="RCL4"/>
    <tableColumn id="6" xr3:uid="{0D29699D-4BBD-6B41-AE05-D2E6A4DCBC58}" name="RCL5"/>
    <tableColumn id="7" xr3:uid="{B0105F50-D942-E84B-BC71-B94180926390}" name="RCL6"/>
    <tableColumn id="8" xr3:uid="{23EE1698-AD79-F749-9197-0F4B15030965}" name="RCL7"/>
    <tableColumn id="9" xr3:uid="{17EE32DD-5C74-4544-972E-1B2FED049086}" name="RCL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B1B803-601E-3848-8F27-EECD41F4E078}" name="ByRCL" displayName="ByRCL" ref="A22:N30" totalsRowShown="0">
  <autoFilter ref="A22:N30" xr:uid="{B21DD60A-9AFA-F144-9339-A5ECA337AA41}"/>
  <tableColumns count="14">
    <tableColumn id="1" xr3:uid="{1FAB2B3F-8135-FD4D-9F15-F2AB2B02C1CE}" name="work"/>
    <tableColumn id="2" xr3:uid="{CF2A4AE1-30B2-2248-B15E-0967EBE1D94F}" name="carry"/>
    <tableColumn id="3" xr3:uid="{25B1B484-EAFF-5F42-A70E-4A01ED39C6D2}" name="move"/>
    <tableColumn id="4" xr3:uid="{EE91875B-A83C-8846-B765-538197942813}" name="hauler carry"/>
    <tableColumn id="5" xr3:uid="{3140C01C-07DD-D849-9970-C1AD5EB5A95C}" name="hauler move"/>
    <tableColumn id="6" xr3:uid="{610200B3-A821-AD42-9868-19028F0A376D}" name="capacity">
      <calculatedColumnFormula>ByRCL[[#This Row],[hauler carry]]*50</calculatedColumnFormula>
    </tableColumn>
    <tableColumn id="7" xr3:uid="{FBF6D310-DB3B-0141-A869-86322D11F3BC}" name="cost">
      <calculatedColumnFormula>ByRCL[[#This Row],[work]]*100+ByRCL[[#This Row],[carry]]*50+ByRCL[[#This Row],[move]]*50+ByRCL[[#This Row],[hauler carry]]*50+ByRCL[[#This Row],[hauler move]]*50</calculatedColumnFormula>
    </tableColumn>
    <tableColumn id="8" xr3:uid="{5FB5761F-EF0D-ED49-A155-93D83A2FE89C}" name="distance"/>
    <tableColumn id="9" xr3:uid="{2D0FC404-A6EB-AD42-93C6-1229B2037A50}" name="net">
      <calculatedColumnFormula array="1">Constants[lifespan]/(ByRCL[[#This Row],[distance]]*2)*ByRCL[[#This Row],[capacity]]-ByRCL[[#This Row],[cost]]</calculatedColumnFormula>
    </tableColumn>
    <tableColumn id="10" xr3:uid="{3940C990-093F-DB42-BE0E-D0A36BE139CA}" name="ticks to empty source">
      <calculatedColumnFormula array="1">Constants[source total]/(ByRCL[[#This Row],[work]]*2)</calculatedColumnFormula>
    </tableColumn>
    <tableColumn id="11" xr3:uid="{1A75F2E0-59F4-144C-877F-98B48A5BBF33}" name="harvesters needed">
      <calculatedColumnFormula array="1">ByRCL[[#This Row],[ticks to empty source]]/Constants[regen time]</calculatedColumnFormula>
    </tableColumn>
    <tableColumn id="12" xr3:uid="{A0BD60AA-545F-844B-9F19-E3DAC27294AD}" name="roi" dataCellStyle="Percent">
      <calculatedColumnFormula>ByRCL[[#This Row],[net]]/ByRCL[[#This Row],[cost]]</calculatedColumnFormula>
    </tableColumn>
    <tableColumn id="13" xr3:uid="{91CD4C12-E92C-9045-AC89-B6BE6D47D05B}" name="haulers needed per harvester">
      <calculatedColumnFormula>(ByRCL[[#This Row],[distance]]*2)*(ByRCL[[#This Row],[work]]*2)/ByRCL[[#This Row],[capacity]]</calculatedColumnFormula>
    </tableColumn>
    <tableColumn id="14" xr3:uid="{57ACDD30-78D8-9D45-BE15-8A4489B63A85}" name="RCL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38B580-78BC-A349-AA5D-1E33E4D536EA}" name="Guard" displayName="Guard" ref="B1:G18" totalsRowShown="0">
  <autoFilter ref="B1:G18" xr:uid="{ED40BD29-9079-E641-9970-6005C5085BF6}"/>
  <tableColumns count="6">
    <tableColumn id="1" xr3:uid="{6C79D90E-3665-C841-965A-E2AC7631B832}" name="Attack"/>
    <tableColumn id="2" xr3:uid="{6B3DACEA-B15E-6D46-BBA5-06788B8536DF}" name="Tough"/>
    <tableColumn id="3" xr3:uid="{2B71539B-C221-394B-8188-5EE1901A7922}" name="Move" dataDxfId="7">
      <calculatedColumnFormula>Guard[[#This Row],[Attack]]+Guard[[#This Row],[Tough]]</calculatedColumnFormula>
    </tableColumn>
    <tableColumn id="4" xr3:uid="{483C8987-4BCC-8946-8759-121E7FDF8B59}" name="Hits" dataDxfId="6">
      <calculatedColumnFormula>100*SUM(Guard[[#This Row],[Attack]:[Move]])</calculatedColumnFormula>
    </tableColumn>
    <tableColumn id="5" xr3:uid="{F0314F7C-30F0-C54F-8526-722CB077BABD}" name="Cost">
      <calculatedColumnFormula>80*Guard[[#This Row],[Attack]]+10*Guard[[#This Row],[Tough]]+50*Guard[[#This Row],[Move]]</calculatedColumnFormula>
    </tableColumn>
    <tableColumn id="6" xr3:uid="{A2C6A291-D9DC-8B4A-9AE9-A8F56B3A237B}" name="Winner" dataDxfId="1">
      <calculatedColumnFormula array="1">IF(Guard[[#This Row],[Hits]]/Hostile[attack]&gt;Hostile[hits]/(Guard[[#This Row],[Attack]]*30), "WIN", "LOSE")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FF090F-CF40-384B-A3CF-578FC014FBEA}" name="Hostile" displayName="Hostile" ref="K1:L2" totalsRowShown="0">
  <autoFilter ref="K1:L2" xr:uid="{909CF311-30F3-634E-9814-E596F03AE704}"/>
  <tableColumns count="2">
    <tableColumn id="1" xr3:uid="{B384819F-4996-9C4D-B81C-818FCD7AD461}" name="attack"/>
    <tableColumn id="2" xr3:uid="{6D486A75-6A2F-CE45-995E-F7CE632DA7A2}" name="hi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E861-D8F8-3643-8601-A47EB6B09F79}">
  <dimension ref="A1:R36"/>
  <sheetViews>
    <sheetView workbookViewId="0">
      <selection activeCell="M6" sqref="M6"/>
    </sheetView>
  </sheetViews>
  <sheetFormatPr baseColWidth="10" defaultRowHeight="16" x14ac:dyDescent="0.2"/>
  <cols>
    <col min="4" max="4" width="13.5" bestFit="1" customWidth="1"/>
    <col min="5" max="5" width="13.6640625" customWidth="1"/>
    <col min="8" max="8" width="12.33203125" bestFit="1" customWidth="1"/>
    <col min="9" max="9" width="21.5" bestFit="1" customWidth="1"/>
    <col min="10" max="10" width="20.83203125" customWidth="1"/>
    <col min="11" max="12" width="21.5" bestFit="1" customWidth="1"/>
    <col min="13" max="13" width="30.33203125" customWidth="1"/>
    <col min="17" max="17" width="12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4</v>
      </c>
      <c r="G1" t="s">
        <v>3</v>
      </c>
      <c r="H1" t="s">
        <v>6</v>
      </c>
      <c r="I1" t="s">
        <v>12</v>
      </c>
      <c r="J1" t="s">
        <v>13</v>
      </c>
      <c r="K1" t="s">
        <v>14</v>
      </c>
    </row>
    <row r="2" spans="1:18" x14ac:dyDescent="0.2">
      <c r="A2">
        <v>1</v>
      </c>
      <c r="B2">
        <v>1</v>
      </c>
      <c r="C2">
        <v>2</v>
      </c>
      <c r="D2">
        <f>Importers[[#This Row],[carry]]*50</f>
        <v>50</v>
      </c>
      <c r="E2">
        <f>Importers[[#This Row],[capacity]]/(Importers[[#This Row],[work]]*2)</f>
        <v>25</v>
      </c>
      <c r="F2">
        <v>50</v>
      </c>
      <c r="G2">
        <f>Importers[[#This Row],[work]]*100+Importers[[#This Row],[carry]]*50+Importers[[#This Row],[move]]*50</f>
        <v>250</v>
      </c>
      <c r="H2" cm="1">
        <f t="array" ref="H2">Constants[lifespan]/(Importers[[#This Row],[ticks to fill]]+Importers[[#This Row],[distance]]*2)*Importers[[#This Row],[capacity]]-Importers[[#This Row],[cost]]</f>
        <v>350</v>
      </c>
      <c r="I2" cm="1">
        <f t="array" ref="I2">(Constants[source total]/Importers[[#This Row],[capacity]])*(Importers[[#This Row],[ticks to fill]]+Importers[[#This Row],[distance]]*2)</f>
        <v>7500</v>
      </c>
      <c r="J2" s="1" cm="1">
        <f t="array" ref="J2">Importers[[#This Row],[ticks to empty source]]/Constants[regen time]</f>
        <v>25</v>
      </c>
      <c r="K2" s="2">
        <f>Importers[[#This Row],[net]]/Importers[[#This Row],[cost]]</f>
        <v>1.4</v>
      </c>
      <c r="P2" t="s">
        <v>8</v>
      </c>
      <c r="Q2" t="s">
        <v>9</v>
      </c>
      <c r="R2" t="s">
        <v>11</v>
      </c>
    </row>
    <row r="3" spans="1:18" x14ac:dyDescent="0.2">
      <c r="A3">
        <v>2</v>
      </c>
      <c r="B3">
        <v>2</v>
      </c>
      <c r="C3">
        <v>4</v>
      </c>
      <c r="D3">
        <f>Importers[[#This Row],[carry]]*50</f>
        <v>100</v>
      </c>
      <c r="E3">
        <f>Importers[[#This Row],[capacity]]/(Importers[[#This Row],[work]]*2)</f>
        <v>25</v>
      </c>
      <c r="F3">
        <v>50</v>
      </c>
      <c r="G3">
        <f>Importers[[#This Row],[work]]*100+Importers[[#This Row],[carry]]*50+Importers[[#This Row],[move]]*50</f>
        <v>500</v>
      </c>
      <c r="H3" cm="1">
        <f t="array" ref="H3">Constants[lifespan]/(Importers[[#This Row],[ticks to fill]]+Importers[[#This Row],[distance]]*2)*Importers[[#This Row],[capacity]]-Importers[[#This Row],[cost]]</f>
        <v>700</v>
      </c>
      <c r="I3" cm="1">
        <f t="array" ref="I3">(Constants[source total]/Importers[[#This Row],[capacity]])*(Importers[[#This Row],[ticks to fill]]+Importers[[#This Row],[distance]]*2)</f>
        <v>3750</v>
      </c>
      <c r="J3" s="1" cm="1">
        <f t="array" ref="J3">Importers[[#This Row],[ticks to empty source]]/Constants[regen time]</f>
        <v>12.5</v>
      </c>
      <c r="K3" s="2">
        <f>Importers[[#This Row],[net]]/Importers[[#This Row],[cost]]</f>
        <v>1.4</v>
      </c>
      <c r="P3">
        <v>1500</v>
      </c>
      <c r="Q3">
        <v>300</v>
      </c>
      <c r="R3">
        <v>3000</v>
      </c>
    </row>
    <row r="4" spans="1:18" x14ac:dyDescent="0.2">
      <c r="A4">
        <v>3</v>
      </c>
      <c r="B4">
        <v>3</v>
      </c>
      <c r="C4">
        <v>6</v>
      </c>
      <c r="D4">
        <f>Importers[[#This Row],[carry]]*50</f>
        <v>150</v>
      </c>
      <c r="E4">
        <f>Importers[[#This Row],[capacity]]/(Importers[[#This Row],[work]]*2)</f>
        <v>25</v>
      </c>
      <c r="F4">
        <v>50</v>
      </c>
      <c r="G4">
        <f>Importers[[#This Row],[work]]*100+Importers[[#This Row],[carry]]*50+Importers[[#This Row],[move]]*50</f>
        <v>750</v>
      </c>
      <c r="H4" cm="1">
        <f t="array" ref="H4">Constants[lifespan]/(Importers[[#This Row],[ticks to fill]]+Importers[[#This Row],[distance]]*2)*Importers[[#This Row],[capacity]]-Importers[[#This Row],[cost]]</f>
        <v>1050</v>
      </c>
      <c r="I4" cm="1">
        <f t="array" ref="I4">(Constants[source total]/Importers[[#This Row],[capacity]])*(Importers[[#This Row],[ticks to fill]]+Importers[[#This Row],[distance]]*2)</f>
        <v>2500</v>
      </c>
      <c r="J4" s="1" cm="1">
        <f t="array" ref="J4">Importers[[#This Row],[ticks to empty source]]/Constants[regen time]</f>
        <v>8.3333333333333339</v>
      </c>
      <c r="K4" s="2">
        <f>Importers[[#This Row],[net]]/Importers[[#This Row],[cost]]</f>
        <v>1.4</v>
      </c>
    </row>
    <row r="5" spans="1:18" x14ac:dyDescent="0.2">
      <c r="A5">
        <v>4</v>
      </c>
      <c r="B5">
        <v>4</v>
      </c>
      <c r="C5">
        <v>8</v>
      </c>
      <c r="D5">
        <f>Importers[[#This Row],[carry]]*50</f>
        <v>200</v>
      </c>
      <c r="E5">
        <f>Importers[[#This Row],[capacity]]/(Importers[[#This Row],[work]]*2)</f>
        <v>25</v>
      </c>
      <c r="F5">
        <v>50</v>
      </c>
      <c r="G5">
        <f>Importers[[#This Row],[work]]*100+Importers[[#This Row],[carry]]*50+Importers[[#This Row],[move]]*50</f>
        <v>1000</v>
      </c>
      <c r="H5" cm="1">
        <f t="array" ref="H5">Constants[lifespan]/(Importers[[#This Row],[ticks to fill]]+Importers[[#This Row],[distance]]*2)*Importers[[#This Row],[capacity]]-Importers[[#This Row],[cost]]</f>
        <v>1400</v>
      </c>
      <c r="I5" cm="1">
        <f t="array" ref="I5">(Constants[source total]/Importers[[#This Row],[capacity]])*(Importers[[#This Row],[ticks to fill]]+Importers[[#This Row],[distance]]*2)</f>
        <v>1875</v>
      </c>
      <c r="J5" s="1" cm="1">
        <f t="array" ref="J5">Importers[[#This Row],[ticks to empty source]]/Constants[regen time]</f>
        <v>6.25</v>
      </c>
      <c r="K5" s="2">
        <f>Importers[[#This Row],[net]]/Importers[[#This Row],[cost]]</f>
        <v>1.4</v>
      </c>
    </row>
    <row r="6" spans="1:18" x14ac:dyDescent="0.2">
      <c r="A6">
        <v>5</v>
      </c>
      <c r="B6">
        <v>5</v>
      </c>
      <c r="C6">
        <v>10</v>
      </c>
      <c r="D6">
        <f>Importers[[#This Row],[carry]]*50</f>
        <v>250</v>
      </c>
      <c r="E6">
        <f>Importers[[#This Row],[capacity]]/(Importers[[#This Row],[work]]*2)</f>
        <v>25</v>
      </c>
      <c r="F6">
        <v>50</v>
      </c>
      <c r="G6">
        <f>Importers[[#This Row],[work]]*100+Importers[[#This Row],[carry]]*50+Importers[[#This Row],[move]]*50</f>
        <v>1250</v>
      </c>
      <c r="H6" cm="1">
        <f t="array" ref="H6">Constants[lifespan]/(Importers[[#This Row],[ticks to fill]]+Importers[[#This Row],[distance]]*2)*Importers[[#This Row],[capacity]]-Importers[[#This Row],[cost]]</f>
        <v>1750</v>
      </c>
      <c r="I6" cm="1">
        <f t="array" ref="I6">(Constants[source total]/Importers[[#This Row],[capacity]])*(Importers[[#This Row],[ticks to fill]]+Importers[[#This Row],[distance]]*2)</f>
        <v>1500</v>
      </c>
      <c r="J6" s="1" cm="1">
        <f t="array" ref="J6">Importers[[#This Row],[ticks to empty source]]/Constants[regen time]</f>
        <v>5</v>
      </c>
      <c r="K6" s="2">
        <f>Importers[[#This Row],[net]]/Importers[[#This Row],[cost]]</f>
        <v>1.4</v>
      </c>
    </row>
    <row r="8" spans="1:18" x14ac:dyDescent="0.2">
      <c r="A8" t="s">
        <v>0</v>
      </c>
      <c r="B8" t="s">
        <v>1</v>
      </c>
      <c r="C8" t="s">
        <v>2</v>
      </c>
      <c r="D8" t="s">
        <v>5</v>
      </c>
      <c r="E8" t="s">
        <v>10</v>
      </c>
      <c r="F8" t="s">
        <v>4</v>
      </c>
      <c r="G8" t="s">
        <v>3</v>
      </c>
      <c r="H8" t="s">
        <v>6</v>
      </c>
      <c r="I8" t="s">
        <v>12</v>
      </c>
      <c r="J8" t="s">
        <v>13</v>
      </c>
      <c r="K8" t="s">
        <v>14</v>
      </c>
    </row>
    <row r="9" spans="1:18" x14ac:dyDescent="0.2">
      <c r="A9">
        <v>1</v>
      </c>
      <c r="B9">
        <v>1</v>
      </c>
      <c r="C9">
        <v>2</v>
      </c>
      <c r="D9">
        <f>Importers4[[#This Row],[carry]]*50</f>
        <v>50</v>
      </c>
      <c r="E9">
        <f>Importers4[[#This Row],[capacity]]/(Importers4[[#This Row],[work]]*2)</f>
        <v>25</v>
      </c>
      <c r="F9">
        <v>100</v>
      </c>
      <c r="G9">
        <f>Importers4[[#This Row],[work]]*100+Importers4[[#This Row],[carry]]*50+Importers4[[#This Row],[move]]*50</f>
        <v>250</v>
      </c>
      <c r="H9" cm="1">
        <f t="array" ref="H9">Constants[lifespan]/(Importers4[[#This Row],[ticks to fill]]+Importers4[[#This Row],[distance]]*2)*Importers4[[#This Row],[capacity]]-Importers4[[#This Row],[cost]]</f>
        <v>83.333333333333371</v>
      </c>
      <c r="I9" cm="1">
        <f t="array" ref="I9">(Constants[source total]/Importers4[[#This Row],[capacity]])*(Importers4[[#This Row],[ticks to fill]]+Importers4[[#This Row],[distance]]*2)</f>
        <v>13500</v>
      </c>
      <c r="J9" s="1" cm="1">
        <f t="array" ref="J9">Importers4[[#This Row],[ticks to empty source]]/Constants[regen time]</f>
        <v>45</v>
      </c>
      <c r="K9" s="2">
        <f>Importers4[[#This Row],[net]]/Importers4[[#This Row],[cost]]</f>
        <v>0.33333333333333348</v>
      </c>
    </row>
    <row r="10" spans="1:18" x14ac:dyDescent="0.2">
      <c r="A10">
        <v>2</v>
      </c>
      <c r="B10">
        <v>2</v>
      </c>
      <c r="C10">
        <v>4</v>
      </c>
      <c r="D10">
        <f>Importers4[[#This Row],[carry]]*50</f>
        <v>100</v>
      </c>
      <c r="E10">
        <f>Importers4[[#This Row],[capacity]]/(Importers4[[#This Row],[work]]*2)</f>
        <v>25</v>
      </c>
      <c r="F10">
        <v>100</v>
      </c>
      <c r="G10">
        <f>Importers4[[#This Row],[work]]*100+Importers4[[#This Row],[carry]]*50+Importers4[[#This Row],[move]]*50</f>
        <v>500</v>
      </c>
      <c r="H10" cm="1">
        <f t="array" ref="H10">Constants[lifespan]/(Importers4[[#This Row],[ticks to fill]]+Importers4[[#This Row],[distance]]*2)*Importers4[[#This Row],[capacity]]-Importers4[[#This Row],[cost]]</f>
        <v>166.66666666666674</v>
      </c>
      <c r="I10" cm="1">
        <f t="array" ref="I10">(Constants[source total]/Importers4[[#This Row],[capacity]])*(Importers4[[#This Row],[ticks to fill]]+Importers4[[#This Row],[distance]]*2)</f>
        <v>6750</v>
      </c>
      <c r="J10" s="1" cm="1">
        <f t="array" ref="J10">Importers4[[#This Row],[ticks to empty source]]/Constants[regen time]</f>
        <v>22.5</v>
      </c>
      <c r="K10" s="2">
        <f>Importers4[[#This Row],[net]]/Importers4[[#This Row],[cost]]</f>
        <v>0.33333333333333348</v>
      </c>
    </row>
    <row r="11" spans="1:18" x14ac:dyDescent="0.2">
      <c r="A11">
        <v>3</v>
      </c>
      <c r="B11">
        <v>3</v>
      </c>
      <c r="C11">
        <v>6</v>
      </c>
      <c r="D11">
        <f>Importers4[[#This Row],[carry]]*50</f>
        <v>150</v>
      </c>
      <c r="E11">
        <f>Importers4[[#This Row],[capacity]]/(Importers4[[#This Row],[work]]*2)</f>
        <v>25</v>
      </c>
      <c r="F11">
        <v>100</v>
      </c>
      <c r="G11">
        <f>Importers4[[#This Row],[work]]*100+Importers4[[#This Row],[carry]]*50+Importers4[[#This Row],[move]]*50</f>
        <v>750</v>
      </c>
      <c r="H11" cm="1">
        <f t="array" ref="H11">Constants[lifespan]/(Importers4[[#This Row],[ticks to fill]]+Importers4[[#This Row],[distance]]*2)*Importers4[[#This Row],[capacity]]-Importers4[[#This Row],[cost]]</f>
        <v>250</v>
      </c>
      <c r="I11" cm="1">
        <f t="array" ref="I11">(Constants[source total]/Importers4[[#This Row],[capacity]])*(Importers4[[#This Row],[ticks to fill]]+Importers4[[#This Row],[distance]]*2)</f>
        <v>4500</v>
      </c>
      <c r="J11" s="1" cm="1">
        <f t="array" ref="J11">Importers4[[#This Row],[ticks to empty source]]/Constants[regen time]</f>
        <v>15</v>
      </c>
      <c r="K11" s="2">
        <f>Importers4[[#This Row],[net]]/Importers4[[#This Row],[cost]]</f>
        <v>0.33333333333333331</v>
      </c>
    </row>
    <row r="12" spans="1:18" x14ac:dyDescent="0.2">
      <c r="A12">
        <v>4</v>
      </c>
      <c r="B12">
        <v>4</v>
      </c>
      <c r="C12">
        <v>8</v>
      </c>
      <c r="D12">
        <f>Importers4[[#This Row],[carry]]*50</f>
        <v>200</v>
      </c>
      <c r="E12">
        <f>Importers4[[#This Row],[capacity]]/(Importers4[[#This Row],[work]]*2)</f>
        <v>25</v>
      </c>
      <c r="F12">
        <v>100</v>
      </c>
      <c r="G12">
        <f>Importers4[[#This Row],[work]]*100+Importers4[[#This Row],[carry]]*50+Importers4[[#This Row],[move]]*50</f>
        <v>1000</v>
      </c>
      <c r="H12" cm="1">
        <f t="array" ref="H12">Constants[lifespan]/(Importers4[[#This Row],[ticks to fill]]+Importers4[[#This Row],[distance]]*2)*Importers4[[#This Row],[capacity]]-Importers4[[#This Row],[cost]]</f>
        <v>333.33333333333348</v>
      </c>
      <c r="I12" cm="1">
        <f t="array" ref="I12">(Constants[source total]/Importers4[[#This Row],[capacity]])*(Importers4[[#This Row],[ticks to fill]]+Importers4[[#This Row],[distance]]*2)</f>
        <v>3375</v>
      </c>
      <c r="J12" s="1" cm="1">
        <f t="array" ref="J12">Importers4[[#This Row],[ticks to empty source]]/Constants[regen time]</f>
        <v>11.25</v>
      </c>
      <c r="K12" s="2">
        <f>Importers4[[#This Row],[net]]/Importers4[[#This Row],[cost]]</f>
        <v>0.33333333333333348</v>
      </c>
    </row>
    <row r="13" spans="1:18" x14ac:dyDescent="0.2">
      <c r="A13">
        <v>5</v>
      </c>
      <c r="B13">
        <v>5</v>
      </c>
      <c r="C13">
        <v>10</v>
      </c>
      <c r="D13">
        <f>Importers4[[#This Row],[carry]]*50</f>
        <v>250</v>
      </c>
      <c r="E13">
        <f>Importers4[[#This Row],[capacity]]/(Importers4[[#This Row],[work]]*2)</f>
        <v>25</v>
      </c>
      <c r="F13">
        <v>100</v>
      </c>
      <c r="G13">
        <f>Importers4[[#This Row],[work]]*100+Importers4[[#This Row],[carry]]*50+Importers4[[#This Row],[move]]*50</f>
        <v>1250</v>
      </c>
      <c r="H13" cm="1">
        <f t="array" ref="H13">Constants[lifespan]/(Importers4[[#This Row],[ticks to fill]]+Importers4[[#This Row],[distance]]*2)*Importers4[[#This Row],[capacity]]-Importers4[[#This Row],[cost]]</f>
        <v>416.66666666666674</v>
      </c>
      <c r="I13" cm="1">
        <f t="array" ref="I13">(Constants[source total]/Importers4[[#This Row],[capacity]])*(Importers4[[#This Row],[ticks to fill]]+Importers4[[#This Row],[distance]]*2)</f>
        <v>2700</v>
      </c>
      <c r="J13" s="1" cm="1">
        <f t="array" ref="J13">Importers4[[#This Row],[ticks to empty source]]/Constants[regen time]</f>
        <v>9</v>
      </c>
      <c r="K13" s="2">
        <f>Importers4[[#This Row],[net]]/Importers4[[#This Row],[cost]]</f>
        <v>0.33333333333333337</v>
      </c>
    </row>
    <row r="15" spans="1:18" x14ac:dyDescent="0.2">
      <c r="A15" t="s">
        <v>0</v>
      </c>
      <c r="B15" t="s">
        <v>1</v>
      </c>
      <c r="C15" t="s">
        <v>2</v>
      </c>
      <c r="D15" t="s">
        <v>15</v>
      </c>
      <c r="E15" t="s">
        <v>16</v>
      </c>
      <c r="F15" t="s">
        <v>5</v>
      </c>
      <c r="G15" t="s">
        <v>3</v>
      </c>
      <c r="H15" t="s">
        <v>4</v>
      </c>
      <c r="I15" t="s">
        <v>6</v>
      </c>
      <c r="J15" t="s">
        <v>12</v>
      </c>
      <c r="K15" t="s">
        <v>17</v>
      </c>
      <c r="L15" t="s">
        <v>14</v>
      </c>
      <c r="M15" t="s">
        <v>18</v>
      </c>
    </row>
    <row r="16" spans="1:18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f>Table4[[#This Row],[hauler carry]]*50</f>
        <v>50</v>
      </c>
      <c r="G16">
        <f>Table4[[#This Row],[work]]*100+Table4[[#This Row],[carry]]*50+Table4[[#This Row],[move]]*50+Table4[[#This Row],[hauler carry]]*50+Table4[[#This Row],[hauler move]]*50</f>
        <v>250</v>
      </c>
      <c r="H16">
        <v>50</v>
      </c>
      <c r="I16" cm="1">
        <f t="array" ref="I16">Constants[lifespan]/(Table4[[#This Row],[distance]]*2)*Table4[[#This Row],[capacity]]-Table4[[#This Row],[cost]]</f>
        <v>500</v>
      </c>
      <c r="J16" cm="1">
        <f t="array" ref="J16">Constants[source total]/(Table4[[#This Row],[work]]*2)</f>
        <v>1500</v>
      </c>
      <c r="K16" cm="1">
        <f t="array" ref="K16">Table4[[#This Row],[ticks to empty source]]/Constants[regen time]</f>
        <v>5</v>
      </c>
      <c r="L16" s="2">
        <f>Table4[[#This Row],[net]]/Table4[[#This Row],[cost]]</f>
        <v>2</v>
      </c>
      <c r="M16">
        <f>(Table4[[#This Row],[distance]]*2)*(Table4[[#This Row],[work]]*2)/Table4[[#This Row],[capacity]]</f>
        <v>4</v>
      </c>
    </row>
    <row r="17" spans="1:17" x14ac:dyDescent="0.2">
      <c r="A17">
        <v>2</v>
      </c>
      <c r="B17">
        <v>1</v>
      </c>
      <c r="C17">
        <v>0</v>
      </c>
      <c r="D17">
        <v>2</v>
      </c>
      <c r="E17">
        <v>2</v>
      </c>
      <c r="F17">
        <f>Table4[[#This Row],[hauler carry]]*50</f>
        <v>100</v>
      </c>
      <c r="G17">
        <f>Table4[[#This Row],[work]]*100+Table4[[#This Row],[carry]]*50+Table4[[#This Row],[move]]*50+Table4[[#This Row],[hauler carry]]*50+Table4[[#This Row],[hauler move]]*50</f>
        <v>450</v>
      </c>
      <c r="H17">
        <v>50</v>
      </c>
      <c r="I17" cm="1">
        <f t="array" ref="I17">Constants[lifespan]/(Table4[[#This Row],[distance]]*2)*Table4[[#This Row],[capacity]]-Table4[[#This Row],[cost]]</f>
        <v>1050</v>
      </c>
      <c r="J17" cm="1">
        <f t="array" ref="J17">Constants[source total]/(Table4[[#This Row],[work]]*2)</f>
        <v>750</v>
      </c>
      <c r="K17" cm="1">
        <f t="array" ref="K17">Table4[[#This Row],[ticks to empty source]]/Constants[regen time]</f>
        <v>2.5</v>
      </c>
      <c r="L17" s="2">
        <f>Table4[[#This Row],[net]]/Table4[[#This Row],[cost]]</f>
        <v>2.3333333333333335</v>
      </c>
      <c r="M17">
        <f>(Table4[[#This Row],[distance]]*2)*(Table4[[#This Row],[work]]*2)/Table4[[#This Row],[capacity]]</f>
        <v>4</v>
      </c>
    </row>
    <row r="18" spans="1:17" x14ac:dyDescent="0.2">
      <c r="A18">
        <v>3</v>
      </c>
      <c r="B18">
        <v>1</v>
      </c>
      <c r="C18">
        <v>0</v>
      </c>
      <c r="D18">
        <v>3</v>
      </c>
      <c r="E18">
        <v>3</v>
      </c>
      <c r="F18">
        <f>Table4[[#This Row],[hauler carry]]*50</f>
        <v>150</v>
      </c>
      <c r="G18">
        <f>Table4[[#This Row],[work]]*100+Table4[[#This Row],[carry]]*50+Table4[[#This Row],[move]]*50+Table4[[#This Row],[hauler carry]]*50+Table4[[#This Row],[hauler move]]*50</f>
        <v>650</v>
      </c>
      <c r="H18">
        <v>50</v>
      </c>
      <c r="I18" cm="1">
        <f t="array" ref="I18">Constants[lifespan]/(Table4[[#This Row],[distance]]*2)*Table4[[#This Row],[capacity]]-Table4[[#This Row],[cost]]</f>
        <v>1600</v>
      </c>
      <c r="J18" cm="1">
        <f t="array" ref="J18">Constants[source total]/(Table4[[#This Row],[work]]*2)</f>
        <v>500</v>
      </c>
      <c r="K18" cm="1">
        <f t="array" ref="K18">Table4[[#This Row],[ticks to empty source]]/Constants[regen time]</f>
        <v>1.6666666666666667</v>
      </c>
      <c r="L18" s="2">
        <f>Table4[[#This Row],[net]]/Table4[[#This Row],[cost]]</f>
        <v>2.4615384615384617</v>
      </c>
      <c r="M18">
        <f>(Table4[[#This Row],[distance]]*2)*(Table4[[#This Row],[work]]*2)/Table4[[#This Row],[capacity]]</f>
        <v>4</v>
      </c>
    </row>
    <row r="19" spans="1:17" x14ac:dyDescent="0.2">
      <c r="A19">
        <v>4</v>
      </c>
      <c r="B19">
        <v>1</v>
      </c>
      <c r="C19">
        <v>0</v>
      </c>
      <c r="D19">
        <v>4</v>
      </c>
      <c r="E19">
        <v>4</v>
      </c>
      <c r="F19">
        <f>Table4[[#This Row],[hauler carry]]*50</f>
        <v>200</v>
      </c>
      <c r="G19">
        <f>Table4[[#This Row],[work]]*100+Table4[[#This Row],[carry]]*50+Table4[[#This Row],[move]]*50+Table4[[#This Row],[hauler carry]]*50+Table4[[#This Row],[hauler move]]*50</f>
        <v>850</v>
      </c>
      <c r="H19">
        <v>50</v>
      </c>
      <c r="I19" cm="1">
        <f t="array" ref="I19">Constants[lifespan]/(Table4[[#This Row],[distance]]*2)*Table4[[#This Row],[capacity]]-Table4[[#This Row],[cost]]</f>
        <v>2150</v>
      </c>
      <c r="J19" cm="1">
        <f t="array" ref="J19">Constants[source total]/(Table4[[#This Row],[work]]*2)</f>
        <v>375</v>
      </c>
      <c r="K19" cm="1">
        <f t="array" ref="K19">Table4[[#This Row],[ticks to empty source]]/Constants[regen time]</f>
        <v>1.25</v>
      </c>
      <c r="L19" s="2">
        <f>Table4[[#This Row],[net]]/Table4[[#This Row],[cost]]</f>
        <v>2.5294117647058822</v>
      </c>
      <c r="M19">
        <f>(Table4[[#This Row],[distance]]*2)*(Table4[[#This Row],[work]]*2)/Table4[[#This Row],[capacity]]</f>
        <v>4</v>
      </c>
    </row>
    <row r="20" spans="1:17" x14ac:dyDescent="0.2">
      <c r="A20">
        <v>5</v>
      </c>
      <c r="B20">
        <v>1</v>
      </c>
      <c r="C20">
        <v>0</v>
      </c>
      <c r="D20">
        <v>5</v>
      </c>
      <c r="E20">
        <v>5</v>
      </c>
      <c r="F20">
        <f>Table4[[#This Row],[hauler carry]]*50</f>
        <v>250</v>
      </c>
      <c r="G20">
        <f>Table4[[#This Row],[work]]*100+Table4[[#This Row],[carry]]*50+Table4[[#This Row],[move]]*50+Table4[[#This Row],[hauler carry]]*50+Table4[[#This Row],[hauler move]]*50</f>
        <v>1050</v>
      </c>
      <c r="H20">
        <v>50</v>
      </c>
      <c r="I20" cm="1">
        <f t="array" ref="I20">Constants[lifespan]/(Table4[[#This Row],[distance]]*2)*Table4[[#This Row],[capacity]]-Table4[[#This Row],[cost]]</f>
        <v>2700</v>
      </c>
      <c r="J20" cm="1">
        <f t="array" ref="J20">Constants[source total]/(Table4[[#This Row],[work]]*2)</f>
        <v>300</v>
      </c>
      <c r="K20" cm="1">
        <f t="array" ref="K20">Table4[[#This Row],[ticks to empty source]]/Constants[regen time]</f>
        <v>1</v>
      </c>
      <c r="L20" s="2">
        <f>Table4[[#This Row],[net]]/Table4[[#This Row],[cost]]</f>
        <v>2.5714285714285716</v>
      </c>
      <c r="M20">
        <f>(Table4[[#This Row],[distance]]*2)*(Table4[[#This Row],[work]]*2)/Table4[[#This Row],[capacity]]</f>
        <v>4</v>
      </c>
    </row>
    <row r="22" spans="1:17" x14ac:dyDescent="0.2">
      <c r="A22" t="s">
        <v>0</v>
      </c>
      <c r="B22" t="s">
        <v>1</v>
      </c>
      <c r="C22" t="s">
        <v>2</v>
      </c>
      <c r="D22" t="s">
        <v>15</v>
      </c>
      <c r="E22" t="s">
        <v>16</v>
      </c>
      <c r="F22" t="s">
        <v>5</v>
      </c>
      <c r="G22" t="s">
        <v>3</v>
      </c>
      <c r="H22" t="s">
        <v>4</v>
      </c>
      <c r="I22" t="s">
        <v>6</v>
      </c>
      <c r="J22" t="s">
        <v>12</v>
      </c>
      <c r="K22" t="s">
        <v>17</v>
      </c>
      <c r="L22" t="s">
        <v>14</v>
      </c>
      <c r="M22" t="s">
        <v>18</v>
      </c>
      <c r="N22" t="s">
        <v>32</v>
      </c>
      <c r="Q22" s="3" t="s">
        <v>19</v>
      </c>
    </row>
    <row r="23" spans="1:17" x14ac:dyDescent="0.2">
      <c r="A23">
        <v>3</v>
      </c>
      <c r="B23">
        <v>0</v>
      </c>
      <c r="C23">
        <v>0</v>
      </c>
      <c r="D23">
        <v>3</v>
      </c>
      <c r="E23">
        <v>3</v>
      </c>
      <c r="F23">
        <f>ByRCL[[#This Row],[hauler carry]]*50</f>
        <v>150</v>
      </c>
      <c r="G23">
        <f>ByRCL[[#This Row],[work]]*100+ByRCL[[#This Row],[carry]]*50+ByRCL[[#This Row],[move]]*50+ByRCL[[#This Row],[hauler carry]]*50+ByRCL[[#This Row],[hauler move]]*50</f>
        <v>600</v>
      </c>
      <c r="H23">
        <v>50</v>
      </c>
      <c r="I23" cm="1">
        <f t="array" ref="I23">Constants[lifespan]/(ByRCL[[#This Row],[distance]]*2)*ByRCL[[#This Row],[capacity]]-ByRCL[[#This Row],[cost]]</f>
        <v>1650</v>
      </c>
      <c r="J23" cm="1">
        <f t="array" ref="J23">Constants[source total]/(ByRCL[[#This Row],[work]]*2)</f>
        <v>500</v>
      </c>
      <c r="K23" cm="1">
        <f t="array" ref="K23">ByRCL[[#This Row],[ticks to empty source]]/Constants[regen time]</f>
        <v>1.6666666666666667</v>
      </c>
      <c r="L23" s="2">
        <f>ByRCL[[#This Row],[net]]/ByRCL[[#This Row],[cost]]</f>
        <v>2.75</v>
      </c>
      <c r="M23">
        <f>(ByRCL[[#This Row],[distance]]*2)*(ByRCL[[#This Row],[work]]*2)/ByRCL[[#This Row],[capacity]]</f>
        <v>4</v>
      </c>
      <c r="N23">
        <v>1</v>
      </c>
      <c r="Q23" s="3" t="s">
        <v>20</v>
      </c>
    </row>
    <row r="24" spans="1:17" x14ac:dyDescent="0.2">
      <c r="A24">
        <v>5</v>
      </c>
      <c r="B24">
        <v>1</v>
      </c>
      <c r="C24">
        <v>0</v>
      </c>
      <c r="D24">
        <v>5</v>
      </c>
      <c r="E24">
        <v>6</v>
      </c>
      <c r="F24">
        <f>ByRCL[[#This Row],[hauler carry]]*50</f>
        <v>250</v>
      </c>
      <c r="G24">
        <f>ByRCL[[#This Row],[work]]*100+ByRCL[[#This Row],[carry]]*50+ByRCL[[#This Row],[move]]*50+ByRCL[[#This Row],[hauler carry]]*50+ByRCL[[#This Row],[hauler move]]*50</f>
        <v>1100</v>
      </c>
      <c r="H24">
        <v>50</v>
      </c>
      <c r="I24" cm="1">
        <f t="array" ref="I24">Constants[lifespan]/(ByRCL[[#This Row],[distance]]*2)*ByRCL[[#This Row],[capacity]]-ByRCL[[#This Row],[cost]]</f>
        <v>2650</v>
      </c>
      <c r="J24" cm="1">
        <f t="array" ref="J24">Constants[source total]/(ByRCL[[#This Row],[work]]*2)</f>
        <v>300</v>
      </c>
      <c r="K24" cm="1">
        <f t="array" ref="K24">ByRCL[[#This Row],[ticks to empty source]]/Constants[regen time]</f>
        <v>1</v>
      </c>
      <c r="L24" s="2">
        <f>ByRCL[[#This Row],[net]]/ByRCL[[#This Row],[cost]]</f>
        <v>2.4090909090909092</v>
      </c>
      <c r="M24">
        <f>(ByRCL[[#This Row],[distance]]*2)*(ByRCL[[#This Row],[work]]*2)/ByRCL[[#This Row],[capacity]]</f>
        <v>4</v>
      </c>
      <c r="N24">
        <v>2</v>
      </c>
    </row>
    <row r="25" spans="1:17" x14ac:dyDescent="0.2">
      <c r="A25">
        <v>5</v>
      </c>
      <c r="B25">
        <v>1</v>
      </c>
      <c r="C25">
        <v>0</v>
      </c>
      <c r="D25">
        <v>8</v>
      </c>
      <c r="E25">
        <v>8</v>
      </c>
      <c r="F25">
        <f>ByRCL[[#This Row],[hauler carry]]*50</f>
        <v>400</v>
      </c>
      <c r="G25">
        <f>ByRCL[[#This Row],[work]]*100+ByRCL[[#This Row],[carry]]*50+ByRCL[[#This Row],[move]]*50+ByRCL[[#This Row],[hauler carry]]*50+ByRCL[[#This Row],[hauler move]]*50</f>
        <v>1350</v>
      </c>
      <c r="H25">
        <v>50</v>
      </c>
      <c r="I25" cm="1">
        <f t="array" ref="I25">Constants[lifespan]/(ByRCL[[#This Row],[distance]]*2)*ByRCL[[#This Row],[capacity]]-ByRCL[[#This Row],[cost]]</f>
        <v>4650</v>
      </c>
      <c r="J25" cm="1">
        <f t="array" ref="J25">Constants[source total]/(ByRCL[[#This Row],[work]]*2)</f>
        <v>300</v>
      </c>
      <c r="K25" cm="1">
        <f t="array" ref="K25">ByRCL[[#This Row],[ticks to empty source]]/Constants[regen time]</f>
        <v>1</v>
      </c>
      <c r="L25" s="2">
        <f>ByRCL[[#This Row],[net]]/ByRCL[[#This Row],[cost]]</f>
        <v>3.4444444444444446</v>
      </c>
      <c r="M25">
        <f>(ByRCL[[#This Row],[distance]]*2)*(ByRCL[[#This Row],[work]]*2)/ByRCL[[#This Row],[capacity]]</f>
        <v>2.5</v>
      </c>
      <c r="N25">
        <v>3</v>
      </c>
    </row>
    <row r="26" spans="1:17" x14ac:dyDescent="0.2">
      <c r="A26">
        <v>5</v>
      </c>
      <c r="B26">
        <v>1</v>
      </c>
      <c r="C26">
        <v>0</v>
      </c>
      <c r="D26">
        <v>13</v>
      </c>
      <c r="E26">
        <v>13</v>
      </c>
      <c r="F26">
        <f>ByRCL[[#This Row],[hauler carry]]*50</f>
        <v>650</v>
      </c>
      <c r="G26">
        <f>ByRCL[[#This Row],[work]]*100+ByRCL[[#This Row],[carry]]*50+ByRCL[[#This Row],[move]]*50+ByRCL[[#This Row],[hauler carry]]*50+ByRCL[[#This Row],[hauler move]]*50</f>
        <v>1850</v>
      </c>
      <c r="H26">
        <v>50</v>
      </c>
      <c r="I26" cm="1">
        <f t="array" ref="I26">Constants[lifespan]/(ByRCL[[#This Row],[distance]]*2)*ByRCL[[#This Row],[capacity]]-ByRCL[[#This Row],[cost]]</f>
        <v>7900</v>
      </c>
      <c r="J26" cm="1">
        <f t="array" ref="J26">Constants[source total]/(ByRCL[[#This Row],[work]]*2)</f>
        <v>300</v>
      </c>
      <c r="K26" cm="1">
        <f t="array" ref="K26">ByRCL[[#This Row],[ticks to empty source]]/Constants[regen time]</f>
        <v>1</v>
      </c>
      <c r="L26" s="2">
        <f>ByRCL[[#This Row],[net]]/ByRCL[[#This Row],[cost]]</f>
        <v>4.2702702702702702</v>
      </c>
      <c r="M26">
        <f>(ByRCL[[#This Row],[distance]]*2)*(ByRCL[[#This Row],[work]]*2)/ByRCL[[#This Row],[capacity]]</f>
        <v>1.5384615384615385</v>
      </c>
      <c r="N26">
        <v>4</v>
      </c>
    </row>
    <row r="27" spans="1:17" x14ac:dyDescent="0.2">
      <c r="A27">
        <v>5</v>
      </c>
      <c r="B27">
        <v>1</v>
      </c>
      <c r="C27">
        <v>0</v>
      </c>
      <c r="D27">
        <v>18</v>
      </c>
      <c r="E27">
        <v>18</v>
      </c>
      <c r="F27">
        <f>ByRCL[[#This Row],[hauler carry]]*50</f>
        <v>900</v>
      </c>
      <c r="G27">
        <f>ByRCL[[#This Row],[work]]*100+ByRCL[[#This Row],[carry]]*50+ByRCL[[#This Row],[move]]*50+ByRCL[[#This Row],[hauler carry]]*50+ByRCL[[#This Row],[hauler move]]*50</f>
        <v>2350</v>
      </c>
      <c r="H27">
        <v>50</v>
      </c>
      <c r="I27" cm="1">
        <f t="array" ref="I27">Constants[lifespan]/(ByRCL[[#This Row],[distance]]*2)*ByRCL[[#This Row],[capacity]]-ByRCL[[#This Row],[cost]]</f>
        <v>11150</v>
      </c>
      <c r="J27" cm="1">
        <f t="array" ref="J27">Constants[source total]/(ByRCL[[#This Row],[work]]*2)</f>
        <v>300</v>
      </c>
      <c r="K27" cm="1">
        <f t="array" ref="K27">ByRCL[[#This Row],[ticks to empty source]]/Constants[regen time]</f>
        <v>1</v>
      </c>
      <c r="L27" s="2">
        <f>ByRCL[[#This Row],[net]]/ByRCL[[#This Row],[cost]]</f>
        <v>4.7446808510638299</v>
      </c>
      <c r="M27">
        <f>(ByRCL[[#This Row],[distance]]*2)*(ByRCL[[#This Row],[work]]*2)/ByRCL[[#This Row],[capacity]]</f>
        <v>1.1111111111111112</v>
      </c>
      <c r="N27">
        <v>5</v>
      </c>
    </row>
    <row r="28" spans="1:17" x14ac:dyDescent="0.2">
      <c r="A28">
        <v>5</v>
      </c>
      <c r="B28">
        <v>1</v>
      </c>
      <c r="C28">
        <v>0</v>
      </c>
      <c r="D28">
        <v>23</v>
      </c>
      <c r="E28">
        <v>23</v>
      </c>
      <c r="F28">
        <f>ByRCL[[#This Row],[hauler carry]]*50</f>
        <v>1150</v>
      </c>
      <c r="G28">
        <f>ByRCL[[#This Row],[work]]*100+ByRCL[[#This Row],[carry]]*50+ByRCL[[#This Row],[move]]*50+ByRCL[[#This Row],[hauler carry]]*50+ByRCL[[#This Row],[hauler move]]*50</f>
        <v>2850</v>
      </c>
      <c r="H28">
        <v>50</v>
      </c>
      <c r="I28" cm="1">
        <f t="array" ref="I28">Constants[lifespan]/(ByRCL[[#This Row],[distance]]*2)*ByRCL[[#This Row],[capacity]]-ByRCL[[#This Row],[cost]]</f>
        <v>14400</v>
      </c>
      <c r="J28" cm="1">
        <f t="array" ref="J28">Constants[source total]/(ByRCL[[#This Row],[work]]*2)</f>
        <v>300</v>
      </c>
      <c r="K28" cm="1">
        <f t="array" ref="K28">ByRCL[[#This Row],[ticks to empty source]]/Constants[regen time]</f>
        <v>1</v>
      </c>
      <c r="L28" s="2">
        <f>ByRCL[[#This Row],[net]]/ByRCL[[#This Row],[cost]]</f>
        <v>5.0526315789473681</v>
      </c>
      <c r="M28">
        <f>(ByRCL[[#This Row],[distance]]*2)*(ByRCL[[#This Row],[work]]*2)/ByRCL[[#This Row],[capacity]]</f>
        <v>0.86956521739130432</v>
      </c>
      <c r="N28">
        <v>6</v>
      </c>
    </row>
    <row r="29" spans="1:17" x14ac:dyDescent="0.2">
      <c r="A29">
        <v>5</v>
      </c>
      <c r="B29">
        <v>1</v>
      </c>
      <c r="C29">
        <v>0</v>
      </c>
      <c r="D29">
        <v>25</v>
      </c>
      <c r="E29">
        <v>25</v>
      </c>
      <c r="F29">
        <f>ByRCL[[#This Row],[hauler carry]]*50</f>
        <v>1250</v>
      </c>
      <c r="G29">
        <f>ByRCL[[#This Row],[work]]*100+ByRCL[[#This Row],[carry]]*50+ByRCL[[#This Row],[move]]*50+ByRCL[[#This Row],[hauler carry]]*50+ByRCL[[#This Row],[hauler move]]*50</f>
        <v>3050</v>
      </c>
      <c r="H29">
        <v>50</v>
      </c>
      <c r="I29" cm="1">
        <f t="array" ref="I29">Constants[lifespan]/(ByRCL[[#This Row],[distance]]*2)*ByRCL[[#This Row],[capacity]]-ByRCL[[#This Row],[cost]]</f>
        <v>15700</v>
      </c>
      <c r="J29" cm="1">
        <f t="array" ref="J29">Constants[source total]/(ByRCL[[#This Row],[work]]*2)</f>
        <v>300</v>
      </c>
      <c r="K29" cm="1">
        <f t="array" ref="K29">ByRCL[[#This Row],[ticks to empty source]]/Constants[regen time]</f>
        <v>1</v>
      </c>
      <c r="L29" s="2">
        <f>ByRCL[[#This Row],[net]]/ByRCL[[#This Row],[cost]]</f>
        <v>5.1475409836065573</v>
      </c>
      <c r="M29">
        <f>(ByRCL[[#This Row],[distance]]*2)*(ByRCL[[#This Row],[work]]*2)/ByRCL[[#This Row],[capacity]]</f>
        <v>0.8</v>
      </c>
      <c r="N29">
        <v>7</v>
      </c>
    </row>
    <row r="30" spans="1:17" x14ac:dyDescent="0.2">
      <c r="A30">
        <v>5</v>
      </c>
      <c r="B30">
        <v>1</v>
      </c>
      <c r="C30">
        <v>0</v>
      </c>
      <c r="D30">
        <v>25</v>
      </c>
      <c r="E30">
        <v>25</v>
      </c>
      <c r="F30">
        <f>ByRCL[[#This Row],[hauler carry]]*50</f>
        <v>1250</v>
      </c>
      <c r="G30">
        <f>ByRCL[[#This Row],[work]]*100+ByRCL[[#This Row],[carry]]*50+ByRCL[[#This Row],[move]]*50+ByRCL[[#This Row],[hauler carry]]*50+ByRCL[[#This Row],[hauler move]]*50</f>
        <v>3050</v>
      </c>
      <c r="H30">
        <v>100</v>
      </c>
      <c r="I30" cm="1">
        <f t="array" ref="I30">Constants[lifespan]/(ByRCL[[#This Row],[distance]]*2)*ByRCL[[#This Row],[capacity]]-ByRCL[[#This Row],[cost]]</f>
        <v>6325</v>
      </c>
      <c r="J30" cm="1">
        <f t="array" ref="J30">Constants[source total]/(ByRCL[[#This Row],[work]]*2)</f>
        <v>300</v>
      </c>
      <c r="K30" cm="1">
        <f t="array" ref="K30">ByRCL[[#This Row],[ticks to empty source]]/Constants[regen time]</f>
        <v>1</v>
      </c>
      <c r="L30" s="2">
        <f>ByRCL[[#This Row],[net]]/ByRCL[[#This Row],[cost]]</f>
        <v>2.0737704918032787</v>
      </c>
      <c r="M30">
        <f>(ByRCL[[#This Row],[distance]]*2)*(ByRCL[[#This Row],[work]]*2)/ByRCL[[#This Row],[capacity]]</f>
        <v>1.6</v>
      </c>
      <c r="N30">
        <v>8</v>
      </c>
    </row>
    <row r="33" spans="1:9" x14ac:dyDescent="0.2">
      <c r="A33" t="s">
        <v>7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</row>
    <row r="34" spans="1:9" x14ac:dyDescent="0.2">
      <c r="A34" t="s">
        <v>29</v>
      </c>
      <c r="C34">
        <v>250</v>
      </c>
      <c r="D34">
        <v>500</v>
      </c>
      <c r="E34">
        <v>1000</v>
      </c>
      <c r="F34">
        <v>1500</v>
      </c>
      <c r="G34">
        <v>2000</v>
      </c>
      <c r="H34">
        <v>2500</v>
      </c>
      <c r="I34">
        <v>3000</v>
      </c>
    </row>
    <row r="35" spans="1:9" x14ac:dyDescent="0.2">
      <c r="A35" t="s">
        <v>30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600</v>
      </c>
      <c r="I35">
        <v>900</v>
      </c>
    </row>
    <row r="36" spans="1:9" x14ac:dyDescent="0.2">
      <c r="A36" t="s">
        <v>31</v>
      </c>
      <c r="B36">
        <f t="shared" ref="B36:I36" si="0">SUBTOTAL(109,B34:B35)</f>
        <v>300</v>
      </c>
      <c r="C36">
        <f t="shared" si="0"/>
        <v>550</v>
      </c>
      <c r="D36">
        <f t="shared" si="0"/>
        <v>800</v>
      </c>
      <c r="E36">
        <f t="shared" si="0"/>
        <v>1300</v>
      </c>
      <c r="F36">
        <f t="shared" si="0"/>
        <v>1800</v>
      </c>
      <c r="G36">
        <f t="shared" si="0"/>
        <v>2300</v>
      </c>
      <c r="H36">
        <f t="shared" si="0"/>
        <v>3100</v>
      </c>
      <c r="I36">
        <f t="shared" si="0"/>
        <v>3900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79A-2BBB-0544-8640-ABA0E99F3C21}">
  <dimension ref="B1:L18"/>
  <sheetViews>
    <sheetView tabSelected="1" workbookViewId="0">
      <selection activeCell="I8" sqref="I8"/>
    </sheetView>
  </sheetViews>
  <sheetFormatPr baseColWidth="10" defaultRowHeight="16" x14ac:dyDescent="0.2"/>
  <sheetData>
    <row r="1" spans="2:12" x14ac:dyDescent="0.2">
      <c r="B1" t="s">
        <v>33</v>
      </c>
      <c r="C1" t="s">
        <v>37</v>
      </c>
      <c r="D1" t="s">
        <v>36</v>
      </c>
      <c r="E1" t="s">
        <v>34</v>
      </c>
      <c r="F1" t="s">
        <v>35</v>
      </c>
      <c r="G1" t="s">
        <v>40</v>
      </c>
      <c r="K1" t="s">
        <v>38</v>
      </c>
      <c r="L1" t="s">
        <v>39</v>
      </c>
    </row>
    <row r="2" spans="2:12" x14ac:dyDescent="0.2">
      <c r="B2">
        <v>1</v>
      </c>
      <c r="C2">
        <v>0</v>
      </c>
      <c r="D2">
        <v>1</v>
      </c>
      <c r="E2">
        <f>100*SUM(Guard[[#This Row],[Attack]:[Move]])</f>
        <v>200</v>
      </c>
      <c r="F2">
        <f>80*Guard[[#This Row],[Attack]]+10*Guard[[#This Row],[Tough]]+50*Guard[[#This Row],[Move]]</f>
        <v>130</v>
      </c>
      <c r="G2" s="1" t="str" cm="1">
        <f t="array" ref="G2">IF(Guard[[#This Row],[Hits]]/Hostile[attack]&gt;Hostile[hits]/(Guard[[#This Row],[Attack]]*30), "WIN", "LOSE")</f>
        <v>LOSE</v>
      </c>
      <c r="K2">
        <v>30</v>
      </c>
      <c r="L2">
        <v>1000</v>
      </c>
    </row>
    <row r="3" spans="2:12" x14ac:dyDescent="0.2">
      <c r="B3">
        <v>1</v>
      </c>
      <c r="C3">
        <v>0</v>
      </c>
      <c r="D3">
        <v>2</v>
      </c>
      <c r="E3">
        <f>100*SUM(Guard[[#This Row],[Attack]:[Move]])</f>
        <v>300</v>
      </c>
      <c r="F3">
        <f>80*Guard[[#This Row],[Attack]]+10*Guard[[#This Row],[Tough]]+50*Guard[[#This Row],[Move]]</f>
        <v>180</v>
      </c>
      <c r="G3" s="1" t="str" cm="1">
        <f t="array" ref="G3">IF(Guard[[#This Row],[Hits]]/Hostile[attack]&gt;Hostile[hits]/(Guard[[#This Row],[Attack]]*30), "WIN", "LOSE")</f>
        <v>LOSE</v>
      </c>
    </row>
    <row r="4" spans="2:12" x14ac:dyDescent="0.2">
      <c r="B4">
        <v>1</v>
      </c>
      <c r="C4">
        <v>1</v>
      </c>
      <c r="D4">
        <v>2</v>
      </c>
      <c r="E4" s="1">
        <f>100*SUM(Guard[[#This Row],[Attack]:[Move]])</f>
        <v>400</v>
      </c>
      <c r="F4">
        <f>80*Guard[[#This Row],[Attack]]+10*Guard[[#This Row],[Tough]]+50*Guard[[#This Row],[Move]]</f>
        <v>190</v>
      </c>
      <c r="G4" s="1" t="str" cm="1">
        <f t="array" ref="G4">IF(Guard[[#This Row],[Hits]]/Hostile[attack]&gt;Hostile[hits]/(Guard[[#This Row],[Attack]]*30), "WIN", "LOSE")</f>
        <v>LOSE</v>
      </c>
    </row>
    <row r="5" spans="2:12" x14ac:dyDescent="0.2">
      <c r="B5">
        <v>1</v>
      </c>
      <c r="C5">
        <v>1</v>
      </c>
      <c r="D5">
        <v>3</v>
      </c>
      <c r="E5" s="1">
        <f>100*SUM(Guard[[#This Row],[Attack]:[Move]])</f>
        <v>500</v>
      </c>
      <c r="F5">
        <f>80*Guard[[#This Row],[Attack]]+10*Guard[[#This Row],[Tough]]+50*Guard[[#This Row],[Move]]</f>
        <v>240</v>
      </c>
      <c r="G5" s="1" t="str" cm="1">
        <f t="array" ref="G5">IF(Guard[[#This Row],[Hits]]/Hostile[attack]&gt;Hostile[hits]/(Guard[[#This Row],[Attack]]*30), "WIN", "LOSE")</f>
        <v>LOSE</v>
      </c>
    </row>
    <row r="6" spans="2:12" x14ac:dyDescent="0.2">
      <c r="B6">
        <v>1</v>
      </c>
      <c r="C6">
        <v>2</v>
      </c>
      <c r="D6" s="1">
        <v>3</v>
      </c>
      <c r="E6" s="1">
        <f>100*SUM(Guard[[#This Row],[Attack]:[Move]])</f>
        <v>600</v>
      </c>
      <c r="F6">
        <f>80*Guard[[#This Row],[Attack]]+10*Guard[[#This Row],[Tough]]+50*Guard[[#This Row],[Move]]</f>
        <v>250</v>
      </c>
      <c r="G6" s="1" t="str" cm="1">
        <f t="array" ref="G6">IF(Guard[[#This Row],[Hits]]/Hostile[attack]&gt;Hostile[hits]/(Guard[[#This Row],[Attack]]*30), "WIN", "LOSE")</f>
        <v>LOSE</v>
      </c>
    </row>
    <row r="7" spans="2:12" x14ac:dyDescent="0.2">
      <c r="B7">
        <v>1</v>
      </c>
      <c r="C7">
        <v>2</v>
      </c>
      <c r="D7" s="1">
        <v>4</v>
      </c>
      <c r="E7" s="1">
        <f>100*SUM(Guard[[#This Row],[Attack]:[Move]])</f>
        <v>700</v>
      </c>
      <c r="F7">
        <f>80*Guard[[#This Row],[Attack]]+10*Guard[[#This Row],[Tough]]+50*Guard[[#This Row],[Move]]</f>
        <v>300</v>
      </c>
      <c r="G7" s="1" t="str" cm="1">
        <f t="array" ref="G7">IF(Guard[[#This Row],[Hits]]/Hostile[attack]&gt;Hostile[hits]/(Guard[[#This Row],[Attack]]*30), "WIN", "LOSE")</f>
        <v>LOSE</v>
      </c>
    </row>
    <row r="8" spans="2:12" x14ac:dyDescent="0.2">
      <c r="B8">
        <v>2</v>
      </c>
      <c r="C8">
        <v>4</v>
      </c>
      <c r="D8" s="1">
        <v>4</v>
      </c>
      <c r="E8" s="1">
        <f>100*SUM(Guard[[#This Row],[Attack]:[Move]])</f>
        <v>1000</v>
      </c>
      <c r="F8">
        <f>80*Guard[[#This Row],[Attack]]+10*Guard[[#This Row],[Tough]]+50*Guard[[#This Row],[Move]]</f>
        <v>400</v>
      </c>
      <c r="G8" s="1" t="str" cm="1">
        <f t="array" ref="G8">IF(Guard[[#This Row],[Hits]]/Hostile[attack]&gt;Hostile[hits]/(Guard[[#This Row],[Attack]]*30), "WIN", "LOSE")</f>
        <v>WIN</v>
      </c>
    </row>
    <row r="9" spans="2:12" x14ac:dyDescent="0.2">
      <c r="B9">
        <v>2</v>
      </c>
      <c r="C9">
        <v>5</v>
      </c>
      <c r="D9" s="1">
        <f>Guard[[#This Row],[Attack]]+Guard[[#This Row],[Tough]]</f>
        <v>7</v>
      </c>
      <c r="E9" s="1">
        <f>100*SUM(Guard[[#This Row],[Attack]:[Move]])</f>
        <v>1400</v>
      </c>
      <c r="F9">
        <f>80*Guard[[#This Row],[Attack]]+10*Guard[[#This Row],[Tough]]+50*Guard[[#This Row],[Move]]</f>
        <v>560</v>
      </c>
      <c r="G9" s="1" t="str" cm="1">
        <f t="array" ref="G9">IF(Guard[[#This Row],[Hits]]/Hostile[attack]&gt;Hostile[hits]/(Guard[[#This Row],[Attack]]*30), "WIN", "LOSE")</f>
        <v>WIN</v>
      </c>
    </row>
    <row r="10" spans="2:12" x14ac:dyDescent="0.2">
      <c r="B10">
        <v>3</v>
      </c>
      <c r="C10">
        <v>1</v>
      </c>
      <c r="D10" s="1">
        <f>Guard[[#This Row],[Attack]]+Guard[[#This Row],[Tough]]</f>
        <v>4</v>
      </c>
      <c r="E10" s="1">
        <f>100*SUM(Guard[[#This Row],[Attack]:[Move]])</f>
        <v>800</v>
      </c>
      <c r="F10">
        <f>80*Guard[[#This Row],[Attack]]+10*Guard[[#This Row],[Tough]]+50*Guard[[#This Row],[Move]]</f>
        <v>450</v>
      </c>
      <c r="G10" s="1" t="str" cm="1">
        <f t="array" ref="G10">IF(Guard[[#This Row],[Hits]]/Hostile[attack]&gt;Hostile[hits]/(Guard[[#This Row],[Attack]]*30), "WIN", "LOSE")</f>
        <v>WIN</v>
      </c>
    </row>
    <row r="11" spans="2:12" x14ac:dyDescent="0.2">
      <c r="B11">
        <v>3</v>
      </c>
      <c r="C11">
        <v>2</v>
      </c>
      <c r="D11" s="1">
        <f>Guard[[#This Row],[Attack]]+Guard[[#This Row],[Tough]]</f>
        <v>5</v>
      </c>
      <c r="E11" s="1">
        <f>100*SUM(Guard[[#This Row],[Attack]:[Move]])</f>
        <v>1000</v>
      </c>
      <c r="F11">
        <f>80*Guard[[#This Row],[Attack]]+10*Guard[[#This Row],[Tough]]+50*Guard[[#This Row],[Move]]</f>
        <v>510</v>
      </c>
      <c r="G11" s="1" t="str" cm="1">
        <f t="array" ref="G11">IF(Guard[[#This Row],[Hits]]/Hostile[attack]&gt;Hostile[hits]/(Guard[[#This Row],[Attack]]*30), "WIN", "LOSE")</f>
        <v>WIN</v>
      </c>
    </row>
    <row r="12" spans="2:12" x14ac:dyDescent="0.2">
      <c r="B12">
        <v>3</v>
      </c>
      <c r="C12">
        <v>5</v>
      </c>
      <c r="D12" s="1">
        <f>Guard[[#This Row],[Attack]]+Guard[[#This Row],[Tough]]</f>
        <v>8</v>
      </c>
      <c r="E12" s="1">
        <f>100*SUM(Guard[[#This Row],[Attack]:[Move]])</f>
        <v>1600</v>
      </c>
      <c r="F12">
        <f>80*Guard[[#This Row],[Attack]]+10*Guard[[#This Row],[Tough]]+50*Guard[[#This Row],[Move]]</f>
        <v>690</v>
      </c>
      <c r="G12" s="1" t="str" cm="1">
        <f t="array" ref="G12">IF(Guard[[#This Row],[Hits]]/Hostile[attack]&gt;Hostile[hits]/(Guard[[#This Row],[Attack]]*30), "WIN", "LOSE")</f>
        <v>WIN</v>
      </c>
    </row>
    <row r="13" spans="2:12" x14ac:dyDescent="0.2">
      <c r="B13">
        <v>3</v>
      </c>
      <c r="C13">
        <v>6</v>
      </c>
      <c r="D13" s="1">
        <f>Guard[[#This Row],[Attack]]+Guard[[#This Row],[Tough]]</f>
        <v>9</v>
      </c>
      <c r="E13" s="1">
        <f>100*SUM(Guard[[#This Row],[Attack]:[Move]])</f>
        <v>1800</v>
      </c>
      <c r="F13">
        <f>80*Guard[[#This Row],[Attack]]+10*Guard[[#This Row],[Tough]]+50*Guard[[#This Row],[Move]]</f>
        <v>750</v>
      </c>
      <c r="G13" s="1" t="str" cm="1">
        <f t="array" ref="G13">IF(Guard[[#This Row],[Hits]]/Hostile[attack]&gt;Hostile[hits]/(Guard[[#This Row],[Attack]]*30), "WIN", "LOSE")</f>
        <v>WIN</v>
      </c>
    </row>
    <row r="14" spans="2:12" x14ac:dyDescent="0.2">
      <c r="B14">
        <v>3</v>
      </c>
      <c r="C14">
        <v>7</v>
      </c>
      <c r="D14" s="1">
        <f>Guard[[#This Row],[Attack]]+Guard[[#This Row],[Tough]]</f>
        <v>10</v>
      </c>
      <c r="E14" s="1">
        <f>100*SUM(Guard[[#This Row],[Attack]:[Move]])</f>
        <v>2000</v>
      </c>
      <c r="F14">
        <f>80*Guard[[#This Row],[Attack]]+10*Guard[[#This Row],[Tough]]+50*Guard[[#This Row],[Move]]</f>
        <v>810</v>
      </c>
      <c r="G14" s="1" t="str" cm="1">
        <f t="array" ref="G14">IF(Guard[[#This Row],[Hits]]/Hostile[attack]&gt;Hostile[hits]/(Guard[[#This Row],[Attack]]*30), "WIN", "LOSE")</f>
        <v>WIN</v>
      </c>
    </row>
    <row r="15" spans="2:12" x14ac:dyDescent="0.2">
      <c r="B15">
        <v>3</v>
      </c>
      <c r="C15">
        <v>8</v>
      </c>
      <c r="D15" s="1">
        <f>Guard[[#This Row],[Attack]]+Guard[[#This Row],[Tough]]</f>
        <v>11</v>
      </c>
      <c r="E15" s="1">
        <f>100*SUM(Guard[[#This Row],[Attack]:[Move]])</f>
        <v>2200</v>
      </c>
      <c r="F15">
        <f>80*Guard[[#This Row],[Attack]]+10*Guard[[#This Row],[Tough]]+50*Guard[[#This Row],[Move]]</f>
        <v>870</v>
      </c>
      <c r="G15" s="1" t="str" cm="1">
        <f t="array" ref="G15">IF(Guard[[#This Row],[Hits]]/Hostile[attack]&gt;Hostile[hits]/(Guard[[#This Row],[Attack]]*30), "WIN", "LOSE")</f>
        <v>WIN</v>
      </c>
    </row>
    <row r="16" spans="2:12" x14ac:dyDescent="0.2">
      <c r="B16">
        <v>3</v>
      </c>
      <c r="C16">
        <v>9</v>
      </c>
      <c r="D16" s="1">
        <f>Guard[[#This Row],[Attack]]+Guard[[#This Row],[Tough]]</f>
        <v>12</v>
      </c>
      <c r="E16" s="1">
        <f>100*SUM(Guard[[#This Row],[Attack]:[Move]])</f>
        <v>2400</v>
      </c>
      <c r="F16">
        <f>80*Guard[[#This Row],[Attack]]+10*Guard[[#This Row],[Tough]]+50*Guard[[#This Row],[Move]]</f>
        <v>930</v>
      </c>
      <c r="G16" s="1" t="str" cm="1">
        <f t="array" ref="G16">IF(Guard[[#This Row],[Hits]]/Hostile[attack]&gt;Hostile[hits]/(Guard[[#This Row],[Attack]]*30), "WIN", "LOSE")</f>
        <v>WIN</v>
      </c>
    </row>
    <row r="17" spans="2:7" x14ac:dyDescent="0.2">
      <c r="B17">
        <v>3</v>
      </c>
      <c r="C17">
        <v>7</v>
      </c>
      <c r="D17" s="1">
        <f>Guard[[#This Row],[Attack]]+Guard[[#This Row],[Tough]]</f>
        <v>10</v>
      </c>
      <c r="E17" s="1">
        <f>100*SUM(Guard[[#This Row],[Attack]:[Move]])</f>
        <v>2000</v>
      </c>
      <c r="F17">
        <f>80*Guard[[#This Row],[Attack]]+10*Guard[[#This Row],[Tough]]+50*Guard[[#This Row],[Move]]</f>
        <v>810</v>
      </c>
      <c r="G17" s="1" t="str" cm="1">
        <f t="array" ref="G17">IF(Guard[[#This Row],[Hits]]/Hostile[attack]&gt;Hostile[hits]/(Guard[[#This Row],[Attack]]*30), "WIN", "LOSE")</f>
        <v>WIN</v>
      </c>
    </row>
    <row r="18" spans="2:7" x14ac:dyDescent="0.2">
      <c r="B18">
        <v>3</v>
      </c>
      <c r="C18">
        <v>8</v>
      </c>
      <c r="D18" s="1">
        <f>Guard[[#This Row],[Attack]]+Guard[[#This Row],[Tough]]</f>
        <v>11</v>
      </c>
      <c r="E18" s="1">
        <f>100*SUM(Guard[[#This Row],[Attack]:[Move]])</f>
        <v>2200</v>
      </c>
      <c r="F18">
        <f>80*Guard[[#This Row],[Attack]]+10*Guard[[#This Row],[Tough]]+50*Guard[[#This Row],[Move]]</f>
        <v>870</v>
      </c>
      <c r="G18" s="1" t="str" cm="1">
        <f t="array" ref="G18">IF(Guard[[#This Row],[Hits]]/Hostile[attack]&gt;Hostile[hits]/(Guard[[#This Row],[Attack]]*30), "WIN", "LOSE")</f>
        <v>WIN</v>
      </c>
    </row>
  </sheetData>
  <scenarios current="0" show="0" sqref="G5">
    <scenario name="20/2000" locked="1" count="2" user="Microsoft Office User" comment="Created by Microsoft Office User on 9/14/2021_x000a_Modified by Microsoft Office User on 9/14/2021">
      <inputCells r="B5" val="1"/>
      <inputCells r="C5" val="4"/>
    </scenario>
  </scenarios>
  <conditionalFormatting sqref="G1">
    <cfRule type="cellIs" dxfId="5" priority="3" operator="equal">
      <formula>"WIN"</formula>
    </cfRule>
  </conditionalFormatting>
  <conditionalFormatting sqref="G1:G18">
    <cfRule type="cellIs" dxfId="4" priority="2" operator="equal">
      <formula>"WIN"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Remote harvest</vt:lpstr>
      <vt:lpstr>Guard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2021-09-03T22:59:15Z</dcterms:created>
  <dcterms:modified xsi:type="dcterms:W3CDTF">2021-09-18T06:37:25Z</dcterms:modified>
</cp:coreProperties>
</file>