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yahag\Desktop\DD\"/>
    </mc:Choice>
  </mc:AlternateContent>
  <xr:revisionPtr revIDLastSave="0" documentId="13_ncr:1000001_{C9F5FA8A-71BB-4348-811D-40EC5929D487}" xr6:coauthVersionLast="43" xr6:coauthVersionMax="43" xr10:uidLastSave="{00000000-0000-0000-0000-000000000000}"/>
  <bookViews>
    <workbookView xWindow="-120" yWindow="-120" windowWidth="24240" windowHeight="13296" tabRatio="500" activeTab="1" xr2:uid="{00000000-000D-0000-FFFF-FFFF00000000}"/>
  </bookViews>
  <sheets>
    <sheet name="SIMULADOR NEXT" sheetId="2" r:id="rId1"/>
    <sheet name="SIMULADOR NEXT (2)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D5" i="5"/>
  <c r="G6" i="5"/>
  <c r="D10" i="5"/>
  <c r="G13" i="5"/>
  <c r="G9" i="5"/>
  <c r="G5" i="5"/>
  <c r="G12" i="5"/>
  <c r="G8" i="5"/>
  <c r="G4" i="5"/>
  <c r="G3" i="5"/>
  <c r="H4" i="5"/>
  <c r="G11" i="5"/>
  <c r="G7" i="5"/>
  <c r="G14" i="5"/>
  <c r="G10" i="5"/>
  <c r="D22" i="2"/>
  <c r="H21" i="2"/>
  <c r="D9" i="2"/>
  <c r="D16" i="2"/>
  <c r="AC4" i="5"/>
  <c r="H5" i="5"/>
  <c r="G15" i="5"/>
  <c r="G16" i="5"/>
  <c r="D6" i="2"/>
  <c r="D10" i="2"/>
  <c r="D5" i="2"/>
  <c r="G3" i="2"/>
  <c r="D13" i="2"/>
  <c r="D14" i="2"/>
  <c r="D7" i="2"/>
  <c r="D11" i="2"/>
  <c r="D15" i="2"/>
  <c r="D8" i="2"/>
  <c r="D12" i="2"/>
  <c r="H4" i="2"/>
  <c r="H6" i="5"/>
  <c r="H7" i="5"/>
  <c r="H8" i="5"/>
  <c r="AC5" i="5"/>
  <c r="D21" i="2"/>
  <c r="G8" i="2"/>
  <c r="G4" i="2"/>
  <c r="G9" i="2"/>
  <c r="G14" i="2"/>
  <c r="G13" i="2"/>
  <c r="G7" i="2"/>
  <c r="G12" i="2"/>
  <c r="G6" i="2"/>
  <c r="G11" i="2"/>
  <c r="G5" i="2"/>
  <c r="G10" i="2"/>
  <c r="H9" i="5"/>
  <c r="AC6" i="5"/>
  <c r="AC4" i="2"/>
  <c r="H5" i="2"/>
  <c r="G15" i="2"/>
  <c r="G16" i="2"/>
  <c r="AC5" i="2"/>
  <c r="H10" i="5"/>
  <c r="AC7" i="5"/>
  <c r="H6" i="2"/>
  <c r="AC6" i="2"/>
  <c r="H11" i="5"/>
  <c r="H12" i="5"/>
  <c r="AC10" i="5"/>
  <c r="AC9" i="5"/>
  <c r="AC8" i="5"/>
  <c r="H7" i="2"/>
  <c r="H8" i="2"/>
  <c r="AC7" i="2"/>
  <c r="H9" i="2"/>
  <c r="H13" i="5"/>
  <c r="H14" i="5"/>
  <c r="AC11" i="5"/>
  <c r="AC8" i="2"/>
  <c r="AC12" i="5"/>
  <c r="H10" i="2"/>
  <c r="AC9" i="2"/>
  <c r="AC11" i="2"/>
  <c r="H11" i="2"/>
  <c r="H12" i="2"/>
  <c r="AC10" i="2"/>
  <c r="AC14" i="5"/>
  <c r="AC13" i="5"/>
  <c r="AC12" i="2"/>
  <c r="AC13" i="2"/>
  <c r="H13" i="2"/>
  <c r="AC14" i="2"/>
  <c r="H15" i="5"/>
  <c r="H16" i="5"/>
  <c r="H14" i="2"/>
  <c r="H15" i="2"/>
  <c r="H16" i="2"/>
</calcChain>
</file>

<file path=xl/sharedStrings.xml><?xml version="1.0" encoding="utf-8"?>
<sst xmlns="http://schemas.openxmlformats.org/spreadsheetml/2006/main" count="71" uniqueCount="44">
  <si>
    <t>MÊS</t>
  </si>
  <si>
    <t>RENDIMENTO</t>
  </si>
  <si>
    <t>RENDIMENTO SE REAPLICADO</t>
  </si>
  <si>
    <t>DESEJADO</t>
  </si>
  <si>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</si>
  <si>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</si>
  <si>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</si>
  <si>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</si>
  <si>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</si>
  <si>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</si>
  <si>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</si>
  <si>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</si>
  <si>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</si>
  <si>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</si>
  <si>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MÊS</t>
  </si>
  <si>
    <t>12º MÊS</t>
  </si>
  <si>
    <t>TOTAL DE RENDIMENTOS</t>
  </si>
  <si>
    <t>RENDIMENTOS + INVESTIMENTO</t>
  </si>
  <si>
    <t>SIMULADOR DE INVESTIMENTO
ROBÔ NEXT</t>
  </si>
  <si>
    <t>VALOR APLICADO 1º MÊS</t>
  </si>
  <si>
    <t>VALOR APLICADO 2º MÊS</t>
  </si>
  <si>
    <t>VALOR APLICADO 3º MÊS</t>
  </si>
  <si>
    <t>VALOR APLICADO 4º MÊS</t>
  </si>
  <si>
    <t>VALOR APLICADO 5º MÊS</t>
  </si>
  <si>
    <t>VALOR APLICADO 6º MÊS</t>
  </si>
  <si>
    <t>VALOR APLICADO 7º MÊS</t>
  </si>
  <si>
    <t>VALOR APLICADO 8º MÊS</t>
  </si>
  <si>
    <t>VALOR APLICADO 9º MÊS</t>
  </si>
  <si>
    <t>VALOR APLICADO 10º MÊS</t>
  </si>
  <si>
    <t>VALOR APLICADO 11º MÊS</t>
  </si>
  <si>
    <t>VALOR APLICADO 12º MÊS</t>
  </si>
  <si>
    <t>COTAÇÃO ATUAL DO DÓLAR</t>
  </si>
  <si>
    <t>TAXA DE RENDIMENTO MENSAL</t>
  </si>
  <si>
    <t xml:space="preserve">VALOR MÍNINO EM REAL </t>
  </si>
  <si>
    <t>VALOR INVESTIDO</t>
  </si>
  <si>
    <t>VALOR EM DÓLARES</t>
  </si>
  <si>
    <t>(INVESTIDO NO ROBÔ NEXT)</t>
  </si>
  <si>
    <t>(VALOR TOTAL PARA CRÉDITO)</t>
  </si>
  <si>
    <t>(REFERENTE A U$50,00)</t>
  </si>
  <si>
    <t>VALOR MÍNIMO EM REAL</t>
  </si>
  <si>
    <t>&lt;Clique aqui&gt;</t>
  </si>
  <si>
    <t>COTAÇÃO (DÓLAR) ON LINE</t>
  </si>
  <si>
    <t>ANDRÉ YAHAGI</t>
  </si>
  <si>
    <t>Powered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</si>
</sst>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_(&quot;R$&quot;* #,##0.00_);_(&quot;R$&quot;* \(#,##0.00\);_(&quot;R$&quot;* &quot;-&quot;??_);_(@_)"/>
    <numFmt numFmtId="166" formatCode="&quot;R$&quot;\ #,##0.00"/>
    <numFmt numFmtId="167" formatCode="[$$-409]#,##0.00_ ;\-[$$-409]#,##0.00\ "/>
    <numFmt numFmtId="168" formatCode="[$$-409]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4483D"/>
      <name val="Calibri"/>
      <family val="2"/>
      <scheme val="minor"/>
    </font>
    <font>
      <b/>
      <sz val="14"/>
      <color rgb="FF54483D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4483D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165" fontId="11" fillId="4" borderId="1" xfId="1" applyFont="1" applyFill="1" applyBorder="1" applyProtection="1">
      <protection locked="0"/>
    </xf>
    <xf numFmtId="9" fontId="11" fillId="4" borderId="1" xfId="2" applyFont="1" applyFill="1" applyBorder="1" applyAlignment="1" applyProtection="1">
      <alignment horizontal="center" vertical="center"/>
      <protection locked="0"/>
    </xf>
    <xf numFmtId="166" fontId="11" fillId="4" borderId="1" xfId="2" applyNumberFormat="1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Protection="1"/>
    <xf numFmtId="0" fontId="0" fillId="2" borderId="0" xfId="0" applyFill="1" applyProtection="1"/>
    <xf numFmtId="0" fontId="9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9" fillId="3" borderId="3" xfId="0" applyFont="1" applyFill="1" applyBorder="1" applyAlignment="1" applyProtection="1">
      <alignment vertical="center"/>
    </xf>
    <xf numFmtId="0" fontId="8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 wrapText="1"/>
    </xf>
    <xf numFmtId="0" fontId="9" fillId="3" borderId="1" xfId="0" applyFont="1" applyFill="1" applyBorder="1" applyAlignment="1" applyProtection="1">
      <alignment vertical="center"/>
    </xf>
    <xf numFmtId="165" fontId="9" fillId="2" borderId="1" xfId="1" applyFont="1" applyFill="1" applyBorder="1" applyProtection="1"/>
    <xf numFmtId="165" fontId="11" fillId="2" borderId="0" xfId="1" applyFont="1" applyFill="1" applyAlignment="1" applyProtection="1">
      <alignment horizontal="right"/>
    </xf>
    <xf numFmtId="0" fontId="1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/>
    <xf numFmtId="0" fontId="0" fillId="2" borderId="0" xfId="0" applyFill="1" applyBorder="1" applyProtection="1"/>
    <xf numFmtId="165" fontId="9" fillId="2" borderId="2" xfId="1" applyFont="1" applyFill="1" applyBorder="1" applyProtection="1"/>
    <xf numFmtId="0" fontId="11" fillId="3" borderId="3" xfId="0" applyFont="1" applyFill="1" applyBorder="1" applyAlignment="1" applyProtection="1">
      <alignment vertical="center"/>
    </xf>
    <xf numFmtId="0" fontId="11" fillId="5" borderId="1" xfId="0" applyFont="1" applyFill="1" applyBorder="1" applyProtection="1"/>
    <xf numFmtId="166" fontId="0" fillId="2" borderId="0" xfId="0" applyNumberFormat="1" applyFill="1" applyProtection="1"/>
    <xf numFmtId="164" fontId="0" fillId="2" borderId="0" xfId="0" applyNumberFormat="1" applyFill="1" applyBorder="1" applyProtection="1"/>
    <xf numFmtId="0" fontId="9" fillId="2" borderId="0" xfId="0" applyFont="1" applyFill="1" applyAlignment="1" applyProtection="1">
      <alignment vertical="top" wrapText="1"/>
    </xf>
    <xf numFmtId="0" fontId="0" fillId="2" borderId="0" xfId="0" applyFill="1" applyAlignment="1" applyProtection="1">
      <alignment horizontal="left" indent="8"/>
    </xf>
    <xf numFmtId="0" fontId="11" fillId="2" borderId="0" xfId="0" applyFont="1" applyFill="1" applyBorder="1" applyProtection="1"/>
    <xf numFmtId="165" fontId="11" fillId="3" borderId="1" xfId="1" applyFont="1" applyFill="1" applyBorder="1" applyProtection="1">
      <protection hidden="1"/>
    </xf>
    <xf numFmtId="167" fontId="11" fillId="3" borderId="1" xfId="1" applyNumberFormat="1" applyFont="1" applyFill="1" applyBorder="1" applyAlignment="1" applyProtection="1">
      <alignment horizontal="center"/>
      <protection hidden="1"/>
    </xf>
    <xf numFmtId="168" fontId="11" fillId="3" borderId="1" xfId="1" applyNumberFormat="1" applyFont="1" applyFill="1" applyBorder="1" applyAlignment="1" applyProtection="1">
      <alignment horizontal="center"/>
      <protection hidden="1"/>
    </xf>
    <xf numFmtId="164" fontId="11" fillId="3" borderId="1" xfId="1" applyNumberFormat="1" applyFont="1" applyFill="1" applyBorder="1" applyProtection="1">
      <protection hidden="1"/>
    </xf>
    <xf numFmtId="165" fontId="9" fillId="3" borderId="3" xfId="1" applyFont="1" applyFill="1" applyBorder="1" applyAlignment="1" applyProtection="1">
      <alignment horizontal="center" vertical="center"/>
      <protection hidden="1"/>
    </xf>
    <xf numFmtId="165" fontId="9" fillId="3" borderId="1" xfId="1" applyFont="1" applyFill="1" applyBorder="1" applyAlignment="1" applyProtection="1">
      <alignment horizontal="center" vertical="center"/>
      <protection hidden="1"/>
    </xf>
    <xf numFmtId="166" fontId="11" fillId="3" borderId="3" xfId="0" applyNumberFormat="1" applyFont="1" applyFill="1" applyBorder="1" applyAlignment="1" applyProtection="1">
      <alignment horizontal="center" vertical="center"/>
      <protection hidden="1"/>
    </xf>
    <xf numFmtId="166" fontId="11" fillId="5" borderId="1" xfId="0" applyNumberFormat="1" applyFont="1" applyFill="1" applyBorder="1" applyAlignment="1" applyProtection="1">
      <alignment horizontal="center" vertical="center"/>
      <protection hidden="1"/>
    </xf>
    <xf numFmtId="165" fontId="11" fillId="2" borderId="0" xfId="1" applyFont="1" applyFill="1" applyAlignment="1" applyProtection="1">
      <alignment horizontal="right"/>
    </xf>
    <xf numFmtId="0" fontId="12" fillId="2" borderId="0" xfId="0" applyFont="1" applyFill="1" applyAlignment="1" applyProtection="1">
      <alignment horizontal="right"/>
    </xf>
    <xf numFmtId="165" fontId="11" fillId="2" borderId="0" xfId="1" applyFont="1" applyFill="1" applyBorder="1" applyProtection="1">
      <protection locked="0"/>
    </xf>
    <xf numFmtId="165" fontId="11" fillId="2" borderId="0" xfId="1" applyFont="1" applyFill="1" applyBorder="1" applyProtection="1">
      <protection hidden="1"/>
    </xf>
    <xf numFmtId="165" fontId="11" fillId="2" borderId="5" xfId="1" applyFont="1" applyFill="1" applyBorder="1" applyProtection="1">
      <protection locked="0"/>
    </xf>
    <xf numFmtId="165" fontId="11" fillId="2" borderId="5" xfId="1" applyFont="1" applyFill="1" applyBorder="1" applyProtection="1">
      <protection hidden="1"/>
    </xf>
    <xf numFmtId="9" fontId="11" fillId="2" borderId="0" xfId="2" applyFont="1" applyFill="1" applyBorder="1" applyAlignment="1" applyProtection="1">
      <alignment horizontal="center" vertical="center"/>
      <protection locked="0"/>
    </xf>
    <xf numFmtId="166" fontId="11" fillId="2" borderId="0" xfId="2" applyNumberFormat="1" applyFont="1" applyFill="1" applyBorder="1" applyAlignment="1" applyProtection="1">
      <alignment horizontal="center" vertical="center"/>
      <protection locked="0"/>
    </xf>
    <xf numFmtId="167" fontId="11" fillId="2" borderId="0" xfId="1" applyNumberFormat="1" applyFont="1" applyFill="1" applyBorder="1" applyAlignment="1" applyProtection="1">
      <alignment horizontal="center"/>
      <protection hidden="1"/>
    </xf>
    <xf numFmtId="168" fontId="11" fillId="2" borderId="0" xfId="1" applyNumberFormat="1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right"/>
    </xf>
    <xf numFmtId="164" fontId="11" fillId="2" borderId="0" xfId="1" applyNumberFormat="1" applyFont="1" applyFill="1" applyBorder="1" applyProtection="1">
      <protection hidden="1"/>
    </xf>
    <xf numFmtId="165" fontId="14" fillId="2" borderId="0" xfId="3" applyNumberFormat="1" applyFont="1" applyFill="1" applyBorder="1" applyAlignment="1" applyProtection="1">
      <alignment horizontal="left"/>
      <protection hidden="1"/>
    </xf>
    <xf numFmtId="0" fontId="3" fillId="2" borderId="0" xfId="0" applyFont="1" applyFill="1" applyBorder="1" applyAlignment="1" applyProtection="1">
      <alignment horizontal="right"/>
    </xf>
    <xf numFmtId="0" fontId="13" fillId="2" borderId="0" xfId="3" applyFill="1" applyBorder="1" applyAlignment="1" applyProtection="1">
      <alignment horizontal="right"/>
    </xf>
    <xf numFmtId="0" fontId="11" fillId="2" borderId="0" xfId="0" applyFont="1" applyFill="1" applyAlignment="1" applyProtection="1">
      <alignment horizontal="right" wrapText="1"/>
    </xf>
    <xf numFmtId="165" fontId="11" fillId="2" borderId="0" xfId="1" applyFont="1" applyFill="1" applyAlignment="1" applyProtection="1">
      <alignment horizontal="right"/>
    </xf>
    <xf numFmtId="165" fontId="11" fillId="2" borderId="4" xfId="1" applyFont="1" applyFill="1" applyBorder="1" applyAlignment="1" applyProtection="1">
      <alignment horizontal="right"/>
    </xf>
    <xf numFmtId="0" fontId="12" fillId="2" borderId="0" xfId="0" applyFont="1" applyFill="1" applyAlignment="1" applyProtection="1">
      <alignment horizontal="right"/>
    </xf>
    <xf numFmtId="0" fontId="7" fillId="2" borderId="0" xfId="0" applyFont="1" applyFill="1" applyAlignment="1" applyProtection="1">
      <alignment horizontal="right" vertical="center" wrapText="1"/>
    </xf>
    <xf numFmtId="0" fontId="11" fillId="2" borderId="0" xfId="0" applyFont="1" applyFill="1" applyAlignment="1" applyProtection="1">
      <alignment horizontal="right"/>
    </xf>
    <xf numFmtId="0" fontId="11" fillId="2" borderId="4" xfId="0" applyFont="1" applyFill="1" applyBorder="1" applyAlignment="1" applyProtection="1">
      <alignment horizontal="right"/>
    </xf>
    <xf numFmtId="165" fontId="11" fillId="2" borderId="0" xfId="1" applyFont="1" applyFill="1" applyBorder="1" applyAlignment="1" applyProtection="1">
      <alignment horizontal="right"/>
      <protection locked="0"/>
    </xf>
    <xf numFmtId="165" fontId="11" fillId="2" borderId="4" xfId="1" applyFont="1" applyFill="1" applyBorder="1" applyAlignment="1" applyProtection="1">
      <alignment horizontal="right"/>
      <protection locked="0"/>
    </xf>
    <xf numFmtId="165" fontId="11" fillId="2" borderId="0" xfId="1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Medium7"/>
  <colors>
    <mruColors>
      <color rgb="FF5448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542605</xdr:colOff>
      <xdr:row>0</xdr:row>
      <xdr:rowOff>192617</xdr:rowOff>
    </xdr:from>
    <xdr:to>
      <xdr:col>1</xdr:col>
      <xdr:colOff>1608667</xdr:colOff>
      <xdr:row>3</xdr:row>
      <xdr:rowOff>331058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05" y="192617"/>
          <a:ext cx="1066062" cy="1154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542605</xdr:colOff>
      <xdr:row>0</xdr:row>
      <xdr:rowOff>192617</xdr:rowOff>
    </xdr:from>
    <xdr:to>
      <xdr:col>1</xdr:col>
      <xdr:colOff>1608667</xdr:colOff>
      <xdr:row>3</xdr:row>
      <xdr:rowOff>331058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5" y="192617"/>
          <a:ext cx="1066062" cy="1151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 /><Relationship Id="rId2" Type="http://schemas.openxmlformats.org/officeDocument/2006/relationships/hyperlink" Target="mailto:andre@aguiasdiamantadas.com" TargetMode="External" /><Relationship Id="rId1" Type="http://schemas.openxmlformats.org/officeDocument/2006/relationships/hyperlink" Target="https://dolarhoje.com/" TargetMode="External" /><Relationship Id="rId4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C98"/>
  <sheetViews>
    <sheetView zoomScale="72" workbookViewId="0">
      <selection activeCell="C5" sqref="C5"/>
    </sheetView>
  </sheetViews>
  <sheetFormatPr defaultColWidth="10.8515625" defaultRowHeight="15" x14ac:dyDescent="0.2"/>
  <cols>
    <col min="1" max="1" width="3.44921875" style="5" customWidth="1"/>
    <col min="2" max="2" width="28.359375" style="5" customWidth="1"/>
    <col min="3" max="4" width="16.64453125" style="5" customWidth="1"/>
    <col min="5" max="5" width="31.56640625" style="5" customWidth="1"/>
    <col min="6" max="6" width="33.41796875" style="5" customWidth="1"/>
    <col min="7" max="7" width="16.64453125" style="5" customWidth="1"/>
    <col min="8" max="8" width="18.25" style="5" customWidth="1"/>
    <col min="9" max="28" width="4.06640625" style="5" customWidth="1"/>
    <col min="29" max="29" width="11.46484375" style="5" hidden="1" customWidth="1"/>
    <col min="30" max="16384" width="10.8515625" style="5"/>
  </cols>
  <sheetData>
    <row r="1" spans="1:29" ht="15.95" customHeight="1" x14ac:dyDescent="0.25">
      <c r="A1" s="4"/>
      <c r="B1" s="4"/>
      <c r="C1" s="4"/>
      <c r="D1" s="4"/>
      <c r="E1" s="4"/>
      <c r="F1" s="4"/>
      <c r="G1" s="4"/>
      <c r="H1" s="4"/>
    </row>
    <row r="2" spans="1:29" s="11" customFormat="1" ht="36.75" customHeight="1" thickBot="1" x14ac:dyDescent="0.3">
      <c r="A2" s="6"/>
      <c r="B2" s="6"/>
      <c r="C2" s="57" t="s">
        <v>18</v>
      </c>
      <c r="D2" s="57"/>
      <c r="E2" s="7"/>
      <c r="F2" s="8" t="s">
        <v>0</v>
      </c>
      <c r="G2" s="8" t="s">
        <v>1</v>
      </c>
      <c r="H2" s="9" t="s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9" ht="27.75" customHeight="1" thickTop="1" x14ac:dyDescent="0.25">
      <c r="A3" s="4"/>
      <c r="B3" s="4"/>
      <c r="C3" s="4"/>
      <c r="D3" s="4"/>
      <c r="E3" s="4"/>
      <c r="F3" s="12" t="s">
        <v>4</v>
      </c>
      <c r="G3" s="34">
        <f>$D$5*$D$18</f>
        <v>229.2</v>
      </c>
      <c r="H3" s="34">
        <v>0</v>
      </c>
    </row>
    <row r="4" spans="1:29" ht="27.95" customHeight="1" x14ac:dyDescent="0.25">
      <c r="A4" s="4"/>
      <c r="B4" s="4"/>
      <c r="C4" s="13" t="s">
        <v>3</v>
      </c>
      <c r="D4" s="14" t="s">
        <v>34</v>
      </c>
      <c r="E4" s="4"/>
      <c r="F4" s="15" t="s">
        <v>5</v>
      </c>
      <c r="G4" s="34">
        <f>($D$5+$D$6)*$D$18</f>
        <v>229.2</v>
      </c>
      <c r="H4" s="35">
        <f>IF(G3&gt;=H$21,($D$5+D6+$G$3)*$D$18,0)</f>
        <v>256.70399999999995</v>
      </c>
      <c r="AC4" s="16">
        <f>($D$5+$G$3)*$D$18</f>
        <v>256.70399999999995</v>
      </c>
    </row>
    <row r="5" spans="1:29" ht="27.95" customHeight="1" x14ac:dyDescent="0.25">
      <c r="A5" s="4"/>
      <c r="B5" s="17" t="s">
        <v>19</v>
      </c>
      <c r="C5" s="1">
        <v>2000</v>
      </c>
      <c r="D5" s="30">
        <f>MROUND(C5,H21)</f>
        <v>1910</v>
      </c>
      <c r="E5" s="4"/>
      <c r="F5" s="15" t="s">
        <v>6</v>
      </c>
      <c r="G5" s="34">
        <f>($D$5+$D$6+D7)*$D$18</f>
        <v>229.2</v>
      </c>
      <c r="H5" s="35">
        <f>IF(G3+G4&gt;=H$21,($D$5+D6+D7+$G$3+$H$4)*$D$18,0)</f>
        <v>287.50847999999991</v>
      </c>
      <c r="AC5" s="16">
        <f>($D$5+$G$3+$H$4)*$D$18</f>
        <v>287.50847999999991</v>
      </c>
    </row>
    <row r="6" spans="1:29" ht="27.95" customHeight="1" x14ac:dyDescent="0.25">
      <c r="A6" s="4"/>
      <c r="B6" s="17" t="s">
        <v>20</v>
      </c>
      <c r="C6" s="1"/>
      <c r="D6" s="30">
        <f>MROUND(C6,H21)</f>
        <v>0</v>
      </c>
      <c r="E6" s="4"/>
      <c r="F6" s="15" t="s">
        <v>7</v>
      </c>
      <c r="G6" s="34">
        <f>($D$5+$D$6+D7+D8)*$D$18</f>
        <v>229.2</v>
      </c>
      <c r="H6" s="35">
        <f>IF(G3+G4+G5&gt;=H$21,($D$5+D6+D7+D8+$G$3+$H$4+$H$5)*$D$18,0)</f>
        <v>322.00949759999992</v>
      </c>
      <c r="AC6" s="16">
        <f>($D$5+$G$3+$H$4+$H$5)*$D$18</f>
        <v>322.00949759999992</v>
      </c>
    </row>
    <row r="7" spans="1:29" ht="27.95" customHeight="1" x14ac:dyDescent="0.25">
      <c r="A7" s="4"/>
      <c r="B7" s="17" t="s">
        <v>21</v>
      </c>
      <c r="C7" s="1"/>
      <c r="D7" s="30">
        <f>MROUND(C7,H21)</f>
        <v>0</v>
      </c>
      <c r="E7" s="4"/>
      <c r="F7" s="15" t="s">
        <v>8</v>
      </c>
      <c r="G7" s="34">
        <f>($D$5+$D$6+D7+D8+D9)*$D$18</f>
        <v>229.2</v>
      </c>
      <c r="H7" s="35">
        <f>IF(G3+G4+G5+G6&gt;=H$21,($D$5+D6+D7+D8+D9+$G$3+$H$4+$H$5+$H$6)*$D$18,0)</f>
        <v>360.65063731199996</v>
      </c>
      <c r="AC7" s="16">
        <f>($D$5+$G$3+$H$4+$H$5+$H$6)*$D$18</f>
        <v>360.65063731199996</v>
      </c>
    </row>
    <row r="8" spans="1:29" ht="27.95" customHeight="1" x14ac:dyDescent="0.25">
      <c r="A8" s="4"/>
      <c r="B8" s="17" t="s">
        <v>22</v>
      </c>
      <c r="C8" s="1"/>
      <c r="D8" s="30">
        <f>MROUND(C8,H21)</f>
        <v>0</v>
      </c>
      <c r="E8" s="4"/>
      <c r="F8" s="15" t="s">
        <v>9</v>
      </c>
      <c r="G8" s="34">
        <f>($D$5+$D$6+D7+D8+D9+D10)*$D$18</f>
        <v>229.2</v>
      </c>
      <c r="H8" s="35">
        <f>IF(G3+G4+G5+G6+G7&gt;=H$21,($D$5+D6+D7+D8+D9+D10+$G$3+$H$4+$H$5+$H$6+$H$7)*$D$18,0)</f>
        <v>403.92871378943994</v>
      </c>
      <c r="AC8" s="16">
        <f>($D$5+$G$3+$H$4+$H$5+$H$6+$H$7)*$D$18</f>
        <v>403.92871378943994</v>
      </c>
    </row>
    <row r="9" spans="1:29" ht="27.95" customHeight="1" x14ac:dyDescent="0.25">
      <c r="A9" s="4"/>
      <c r="B9" s="17" t="s">
        <v>23</v>
      </c>
      <c r="C9" s="1"/>
      <c r="D9" s="30">
        <f>MROUND(C9,H21)</f>
        <v>0</v>
      </c>
      <c r="E9" s="18"/>
      <c r="F9" s="15" t="s">
        <v>10</v>
      </c>
      <c r="G9" s="34">
        <f>($D$5+$D$6+D7+D8+D9+D10+D11)*$D$18</f>
        <v>229.2</v>
      </c>
      <c r="H9" s="35">
        <f>IF(G3+G4+G5+G6+G7+G8&gt;=H$21,($D$5+D6+D7+D8+D9+D10+D11+$G$3+$H$4+$H$5+$H$6+$H$7+$H$8)*$D$18,0)</f>
        <v>452.40015944417274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6">
        <f>($D$5+$G$3+$H$4+$H$5+$H$6+$H$7+$H$8)*$D$18</f>
        <v>452.40015944417274</v>
      </c>
    </row>
    <row r="10" spans="1:29" ht="27.95" customHeight="1" x14ac:dyDescent="0.25">
      <c r="A10" s="4"/>
      <c r="B10" s="17" t="s">
        <v>24</v>
      </c>
      <c r="C10" s="1"/>
      <c r="D10" s="30">
        <f>MROUND(C10,H21)</f>
        <v>0</v>
      </c>
      <c r="E10" s="20"/>
      <c r="F10" s="15" t="s">
        <v>11</v>
      </c>
      <c r="G10" s="34">
        <f>($D$5+$D$6+D7+D8+D9+D10+D11+D12)*$D$18</f>
        <v>229.2</v>
      </c>
      <c r="H10" s="35">
        <f>IF(G3+G4+G5+G6+G7+G8+G9&gt;=H$21,($D$5+D6+D7+D8+D9+D10+D11+D12+$G$3+$H$4+$H$5+$H$6+$H$7+$H$8+$H$9)*$D$18,0)</f>
        <v>506.68817857747348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16">
        <f>($D$5+$G$3+$H$4+$H$5+$H$6+$H$7+$H$8+$H$9)*$D$18</f>
        <v>506.68817857747348</v>
      </c>
    </row>
    <row r="11" spans="1:29" ht="27.95" customHeight="1" x14ac:dyDescent="0.25">
      <c r="A11" s="4"/>
      <c r="B11" s="17" t="s">
        <v>25</v>
      </c>
      <c r="C11" s="1"/>
      <c r="D11" s="30">
        <f>MROUND(C11,H21)</f>
        <v>0</v>
      </c>
      <c r="E11" s="20"/>
      <c r="F11" s="15" t="s">
        <v>12</v>
      </c>
      <c r="G11" s="34">
        <f>($D$5+$D$6+D7+D8+D9+D10+D11+D12+D13)*$D$18</f>
        <v>229.2</v>
      </c>
      <c r="H11" s="35">
        <f>IF(G3+G4+G5+G6+G7+G8+G9+G10&gt;=H$21,($D$5+D6+D7+D8+D9+D10+D11+D12+D13+$G$3+$H$4+$H$5+$H$6+$H$7+$H$8+$H$9+$H$10)*$D$18,0)</f>
        <v>567.49076000677019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16">
        <f>($D$5+$G$3+$H$4+$H$5+$H$6+$H$7+$H$8+$H$9+$H$10)*$D$18</f>
        <v>567.49076000677019</v>
      </c>
    </row>
    <row r="12" spans="1:29" ht="27.95" customHeight="1" x14ac:dyDescent="0.25">
      <c r="A12" s="4"/>
      <c r="B12" s="17" t="s">
        <v>26</v>
      </c>
      <c r="C12" s="1"/>
      <c r="D12" s="30">
        <f>MROUND(C12,H21)</f>
        <v>0</v>
      </c>
      <c r="E12" s="20"/>
      <c r="F12" s="15" t="s">
        <v>13</v>
      </c>
      <c r="G12" s="34">
        <f>($D$5+$D$6+D7+D8+D9+D10+D11+D12+D13+D14)*$D$18</f>
        <v>229.2</v>
      </c>
      <c r="H12" s="35">
        <f>IF(G3+G4+G5+G6+G7+G8+G9+G10+G11&gt;=H$21,($D$5+D6+D7+D8+D9+D10+D11+D12+D13+D14+$G$3+$H$4+$H$5+$H$6+$H$7+$H$8+$H$9+$H$10+$H$11)*$D$18,0)</f>
        <v>635.58965120758262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16">
        <f>($D$5+$G$3+$H$4+$H$5+$H$6+$H$7+$H$8+$H$9+$H$10+$H$11)*$D$18</f>
        <v>635.58965120758262</v>
      </c>
    </row>
    <row r="13" spans="1:29" ht="27.95" customHeight="1" x14ac:dyDescent="0.25">
      <c r="A13" s="4"/>
      <c r="B13" s="17" t="s">
        <v>27</v>
      </c>
      <c r="C13" s="1"/>
      <c r="D13" s="30">
        <f>MROUND(C13,H21)</f>
        <v>0</v>
      </c>
      <c r="E13" s="20"/>
      <c r="F13" s="15" t="s">
        <v>14</v>
      </c>
      <c r="G13" s="34">
        <f>($D$5+$D$6+D7+D8+D9+D10+D11+D12+D13+D14+D15)*$D$18</f>
        <v>229.2</v>
      </c>
      <c r="H13" s="35">
        <f>IF(G3+G4+G5+G6+G7+G8+G9+G10+G11+G12&gt;=H$21,($D$5+D6+D7+D8+D9+D10+D11+D12+D13+D14+D15+$G$3+$H$4+$H$5+$H$6+$H$7+$H$8+$H$9+$H$10+$H$11+$H$12)*$D$18,0)</f>
        <v>711.86040935249252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16">
        <f>($D$5+$G$3+$H$4+$H$5+$H$6+$H$7+$H$8+$H$9+$H$10+$H$11+$H$12)*$D$18</f>
        <v>711.86040935249252</v>
      </c>
    </row>
    <row r="14" spans="1:29" ht="27.95" customHeight="1" thickBot="1" x14ac:dyDescent="0.3">
      <c r="A14" s="4"/>
      <c r="B14" s="17" t="s">
        <v>28</v>
      </c>
      <c r="C14" s="1"/>
      <c r="D14" s="30">
        <f>MROUND(C14,H21)</f>
        <v>0</v>
      </c>
      <c r="E14" s="20"/>
      <c r="F14" s="15" t="s">
        <v>15</v>
      </c>
      <c r="G14" s="34">
        <f>($D$5+$D$6+D7+D8+D9+D10+D11+D12+D13+D14+D15+D16)*$D$18</f>
        <v>229.2</v>
      </c>
      <c r="H14" s="35">
        <f>IF(G3+G4+G5+G6+G7+G8+G9+G10+G11+G12+G13&gt;=H$21,($D$5+D6+D7+D8+D9+D10+D11+D12+D13+D14+D15+D16+$G$3+$H$4+$H$5+$H$6+$H$7+$H$8+$H$9+$H$10+$H$11+$H$12+$H$13)*$D$18,0)</f>
        <v>797.28365847479165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>
        <f>($D$5+$G$3+$H$4+$H$5+$H$6+$H$7+$H$8+$H$9+$H$10+$H$11+$H$12+$H$13)*$D$18</f>
        <v>797.28365847479165</v>
      </c>
    </row>
    <row r="15" spans="1:29" ht="27.95" customHeight="1" thickTop="1" x14ac:dyDescent="0.25">
      <c r="A15" s="4"/>
      <c r="B15" s="17" t="s">
        <v>29</v>
      </c>
      <c r="C15" s="1"/>
      <c r="D15" s="30">
        <f>MROUND(C15,H21)</f>
        <v>0</v>
      </c>
      <c r="E15" s="20"/>
      <c r="F15" s="23" t="s">
        <v>16</v>
      </c>
      <c r="G15" s="36">
        <f>SUM(G3:G14)</f>
        <v>2750.3999999999996</v>
      </c>
      <c r="H15" s="36">
        <f>SUM(H3:H14)+SUMIF(H3:H14,0,G3:G14)</f>
        <v>5531.3141457647234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9" ht="27.95" customHeight="1" x14ac:dyDescent="0.25">
      <c r="A16" s="4"/>
      <c r="B16" s="17" t="s">
        <v>30</v>
      </c>
      <c r="C16" s="1"/>
      <c r="D16" s="30">
        <f>MROUND(C16,H21)</f>
        <v>0</v>
      </c>
      <c r="E16" s="20"/>
      <c r="F16" s="24" t="s">
        <v>17</v>
      </c>
      <c r="G16" s="37">
        <f>D5+D6+D7+D8+D9+D10+D11+D12+D13+D14+D15+D16+G15</f>
        <v>4660.3999999999996</v>
      </c>
      <c r="H16" s="37">
        <f>D5+D6+D7+D8+D9+D10+D11+D12+D13+D14+D15+D16+H15</f>
        <v>7441.3141457647234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5"/>
    </row>
    <row r="17" spans="1:28" ht="27.95" customHeight="1" x14ac:dyDescent="0.2">
      <c r="E17" s="21"/>
      <c r="F17" s="21"/>
      <c r="G17" s="21"/>
      <c r="H17" s="2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27.95" customHeight="1" x14ac:dyDescent="0.25">
      <c r="A18" s="54" t="s">
        <v>32</v>
      </c>
      <c r="B18" s="54"/>
      <c r="C18" s="55"/>
      <c r="D18" s="2">
        <v>0.12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27.95" customHeight="1" x14ac:dyDescent="0.25">
      <c r="A19" s="58" t="s">
        <v>31</v>
      </c>
      <c r="B19" s="58"/>
      <c r="C19" s="59"/>
      <c r="D19" s="3">
        <v>3.82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27.95" customHeight="1" x14ac:dyDescent="0.2">
      <c r="B20" s="27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27.95" customHeight="1" x14ac:dyDescent="0.25">
      <c r="A21" s="28"/>
      <c r="B21" s="54" t="s">
        <v>35</v>
      </c>
      <c r="C21" s="55"/>
      <c r="D21" s="31">
        <f>(D5+D6+D7+D8+D9+D10+D11+D12+D13+D14+D15+D16)/D19</f>
        <v>500</v>
      </c>
      <c r="E21" s="29" t="s">
        <v>36</v>
      </c>
      <c r="F21" s="53" t="s">
        <v>33</v>
      </c>
      <c r="G21" s="53"/>
      <c r="H21" s="33">
        <f>50*D19</f>
        <v>191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27.95" customHeight="1" x14ac:dyDescent="0.25">
      <c r="B22" s="54" t="s">
        <v>35</v>
      </c>
      <c r="C22" s="55"/>
      <c r="D22" s="32">
        <f>(C5+C6+C7+C8+C9+C10+C11+C12+C13+C14+C15+C16)/D19</f>
        <v>523.56020942408384</v>
      </c>
      <c r="E22" s="29" t="s">
        <v>37</v>
      </c>
      <c r="F22" s="56" t="s">
        <v>38</v>
      </c>
      <c r="G22" s="56"/>
    </row>
    <row r="23" spans="1:28" ht="27.95" customHeight="1" x14ac:dyDescent="0.25">
      <c r="B23" s="4"/>
      <c r="C23" s="4"/>
      <c r="D23" s="4"/>
    </row>
    <row r="24" spans="1:28" ht="27.95" customHeight="1" x14ac:dyDescent="0.25">
      <c r="B24" s="4"/>
      <c r="C24" s="4"/>
      <c r="D24" s="4"/>
    </row>
    <row r="25" spans="1:28" ht="27.95" customHeight="1" x14ac:dyDescent="0.2"/>
    <row r="26" spans="1:28" ht="27.95" customHeight="1" x14ac:dyDescent="0.2"/>
    <row r="27" spans="1:28" ht="27.95" customHeight="1" x14ac:dyDescent="0.2"/>
    <row r="28" spans="1:28" ht="27.95" customHeight="1" x14ac:dyDescent="0.2"/>
    <row r="29" spans="1:28" ht="27.95" customHeight="1" x14ac:dyDescent="0.2"/>
    <row r="30" spans="1:28" ht="27.95" customHeight="1" x14ac:dyDescent="0.2"/>
    <row r="31" spans="1:28" ht="27.95" customHeight="1" x14ac:dyDescent="0.2"/>
    <row r="32" spans="1:28" ht="27.95" customHeight="1" x14ac:dyDescent="0.2"/>
    <row r="33" ht="27.95" customHeight="1" x14ac:dyDescent="0.2"/>
    <row r="34" ht="27.95" customHeight="1" x14ac:dyDescent="0.2"/>
    <row r="35" ht="27.95" customHeight="1" x14ac:dyDescent="0.2"/>
    <row r="36" ht="27.95" customHeight="1" x14ac:dyDescent="0.2"/>
    <row r="37" ht="27.95" customHeight="1" x14ac:dyDescent="0.2"/>
    <row r="38" ht="27.95" customHeight="1" x14ac:dyDescent="0.2"/>
    <row r="39" ht="27.95" customHeight="1" x14ac:dyDescent="0.2"/>
    <row r="40" ht="27.95" customHeight="1" x14ac:dyDescent="0.2"/>
    <row r="41" ht="27.95" customHeight="1" x14ac:dyDescent="0.2"/>
    <row r="42" ht="27.95" customHeight="1" x14ac:dyDescent="0.2"/>
    <row r="43" ht="27.95" customHeight="1" x14ac:dyDescent="0.2"/>
    <row r="44" ht="27.95" customHeight="1" x14ac:dyDescent="0.2"/>
    <row r="45" ht="27.95" customHeight="1" x14ac:dyDescent="0.2"/>
    <row r="46" ht="27.95" customHeight="1" x14ac:dyDescent="0.2"/>
    <row r="47" ht="27.95" customHeight="1" x14ac:dyDescent="0.2"/>
    <row r="48" ht="27.95" customHeight="1" x14ac:dyDescent="0.2"/>
    <row r="49" ht="27.95" customHeight="1" x14ac:dyDescent="0.2"/>
    <row r="50" ht="27.95" customHeight="1" x14ac:dyDescent="0.2"/>
    <row r="51" ht="27.95" customHeight="1" x14ac:dyDescent="0.2"/>
    <row r="52" ht="27.95" customHeight="1" x14ac:dyDescent="0.2"/>
    <row r="53" ht="27.95" customHeight="1" x14ac:dyDescent="0.2"/>
    <row r="54" ht="27.95" customHeight="1" x14ac:dyDescent="0.2"/>
    <row r="55" ht="27.95" customHeight="1" x14ac:dyDescent="0.2"/>
    <row r="56" ht="27.95" customHeight="1" x14ac:dyDescent="0.2"/>
    <row r="57" ht="27.95" customHeight="1" x14ac:dyDescent="0.2"/>
    <row r="58" ht="27.95" customHeight="1" x14ac:dyDescent="0.2"/>
    <row r="59" ht="27.95" customHeight="1" x14ac:dyDescent="0.2"/>
    <row r="60" ht="27.95" customHeight="1" x14ac:dyDescent="0.2"/>
    <row r="61" ht="27.95" customHeight="1" x14ac:dyDescent="0.2"/>
    <row r="62" ht="27.95" customHeight="1" x14ac:dyDescent="0.2"/>
    <row r="63" ht="27.95" customHeight="1" x14ac:dyDescent="0.2"/>
    <row r="64" ht="27.95" customHeight="1" x14ac:dyDescent="0.2"/>
    <row r="65" ht="27.95" customHeight="1" x14ac:dyDescent="0.2"/>
    <row r="66" ht="27.95" customHeight="1" x14ac:dyDescent="0.2"/>
    <row r="67" ht="27.95" customHeight="1" x14ac:dyDescent="0.2"/>
    <row r="68" ht="27.95" customHeight="1" x14ac:dyDescent="0.2"/>
    <row r="69" ht="27.95" customHeight="1" x14ac:dyDescent="0.2"/>
    <row r="70" ht="27.95" customHeight="1" x14ac:dyDescent="0.2"/>
    <row r="71" ht="27.95" customHeight="1" x14ac:dyDescent="0.2"/>
    <row r="72" ht="27.95" customHeight="1" x14ac:dyDescent="0.2"/>
    <row r="73" ht="27.95" customHeight="1" x14ac:dyDescent="0.2"/>
    <row r="74" ht="27.95" customHeight="1" x14ac:dyDescent="0.2"/>
    <row r="75" ht="27.95" customHeight="1" x14ac:dyDescent="0.2"/>
    <row r="76" ht="27.95" customHeight="1" x14ac:dyDescent="0.2"/>
    <row r="77" ht="27.95" customHeight="1" x14ac:dyDescent="0.2"/>
    <row r="78" ht="27.95" customHeight="1" x14ac:dyDescent="0.2"/>
    <row r="79" ht="27.95" customHeight="1" x14ac:dyDescent="0.2"/>
    <row r="80" ht="27.95" customHeight="1" x14ac:dyDescent="0.2"/>
    <row r="81" ht="27.95" customHeight="1" x14ac:dyDescent="0.2"/>
    <row r="82" ht="27.95" customHeight="1" x14ac:dyDescent="0.2"/>
    <row r="83" ht="27.95" customHeight="1" x14ac:dyDescent="0.2"/>
    <row r="84" ht="27.95" customHeight="1" x14ac:dyDescent="0.2"/>
    <row r="85" ht="27.95" customHeight="1" x14ac:dyDescent="0.2"/>
    <row r="86" ht="27.95" customHeight="1" x14ac:dyDescent="0.2"/>
    <row r="87" ht="27.95" customHeight="1" x14ac:dyDescent="0.2"/>
    <row r="88" ht="27.95" customHeight="1" x14ac:dyDescent="0.2"/>
    <row r="89" ht="27.95" customHeight="1" x14ac:dyDescent="0.2"/>
    <row r="90" ht="27.95" customHeight="1" x14ac:dyDescent="0.2"/>
    <row r="91" ht="27.95" customHeight="1" x14ac:dyDescent="0.2"/>
    <row r="92" ht="27.95" customHeight="1" x14ac:dyDescent="0.2"/>
    <row r="93" ht="27.95" customHeight="1" x14ac:dyDescent="0.2"/>
    <row r="94" ht="27.95" customHeight="1" x14ac:dyDescent="0.2"/>
    <row r="95" ht="27.95" customHeight="1" x14ac:dyDescent="0.2"/>
    <row r="96" ht="27.95" customHeight="1" x14ac:dyDescent="0.2"/>
    <row r="97" ht="27.95" customHeight="1" x14ac:dyDescent="0.2"/>
    <row r="98" ht="27.95" customHeight="1" x14ac:dyDescent="0.2"/>
  </sheetData>
  <sheetProtection algorithmName="SHA-512" hashValue="asmhblv8K+o6PVLxUbQe2lrYqUQd8jojscyO9CYbZpndMEoNfKflqyfLvAldhkBbPAmtGQLpvib2a9xVNMpmSw==" saltValue="RRJ3k4uneJEMrg9ZxHWQ5g==" spinCount="100000" sheet="1" objects="1" scenarios="1"/>
  <mergeCells count="7">
    <mergeCell ref="F21:G21"/>
    <mergeCell ref="B21:C21"/>
    <mergeCell ref="B22:C22"/>
    <mergeCell ref="F22:G22"/>
    <mergeCell ref="C2:D2"/>
    <mergeCell ref="A18:C18"/>
    <mergeCell ref="A19:C19"/>
  </mergeCells>
  <phoneticPr fontId="4" type="noConversion"/>
  <pageMargins left="0.25" right="0.25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98"/>
  <sheetViews>
    <sheetView tabSelected="1" topLeftCell="F1" zoomScale="72" workbookViewId="0">
      <selection activeCell="C6" sqref="C6"/>
    </sheetView>
  </sheetViews>
  <sheetFormatPr defaultColWidth="10.8515625" defaultRowHeight="15" x14ac:dyDescent="0.2"/>
  <cols>
    <col min="1" max="1" width="3.44921875" style="5" customWidth="1"/>
    <col min="2" max="2" width="28.359375" style="5" customWidth="1"/>
    <col min="3" max="4" width="16.64453125" style="5" customWidth="1"/>
    <col min="5" max="5" width="31.56640625" style="5" customWidth="1"/>
    <col min="6" max="6" width="33.41796875" style="5" customWidth="1"/>
    <col min="7" max="7" width="16.64453125" style="5" customWidth="1"/>
    <col min="8" max="8" width="18.25" style="5" customWidth="1"/>
    <col min="9" max="28" width="4.06640625" style="5" customWidth="1"/>
    <col min="29" max="29" width="11.46484375" style="5" hidden="1" customWidth="1"/>
    <col min="30" max="16384" width="10.8515625" style="5"/>
  </cols>
  <sheetData>
    <row r="1" spans="1:29" ht="15.95" customHeight="1" x14ac:dyDescent="0.25">
      <c r="A1" s="4"/>
      <c r="B1" s="4"/>
      <c r="C1" s="4"/>
      <c r="D1" s="4"/>
      <c r="E1" s="4"/>
      <c r="F1" s="4"/>
      <c r="G1" s="4"/>
      <c r="H1" s="4"/>
    </row>
    <row r="2" spans="1:29" s="11" customFormat="1" ht="36.75" customHeight="1" thickBot="1" x14ac:dyDescent="0.3">
      <c r="A2" s="6"/>
      <c r="B2" s="6"/>
      <c r="C2" s="57" t="s">
        <v>18</v>
      </c>
      <c r="D2" s="57"/>
      <c r="E2" s="7"/>
      <c r="F2" s="8" t="s">
        <v>0</v>
      </c>
      <c r="G2" s="8" t="s">
        <v>1</v>
      </c>
      <c r="H2" s="9" t="s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9" ht="27.75" customHeight="1" thickTop="1" x14ac:dyDescent="0.25">
      <c r="A3" s="4"/>
      <c r="B3" s="4"/>
      <c r="C3" s="4"/>
      <c r="D3" s="4"/>
      <c r="E3" s="4"/>
      <c r="F3" s="12" t="s">
        <v>4</v>
      </c>
      <c r="G3" s="34">
        <f>$D$5*$D$7</f>
        <v>229.2</v>
      </c>
      <c r="H3" s="34">
        <v>0</v>
      </c>
    </row>
    <row r="4" spans="1:29" ht="27.95" customHeight="1" x14ac:dyDescent="0.25">
      <c r="A4" s="4"/>
      <c r="B4" s="4"/>
      <c r="C4" s="13" t="s">
        <v>3</v>
      </c>
      <c r="D4" s="14" t="s">
        <v>34</v>
      </c>
      <c r="E4" s="4"/>
      <c r="F4" s="15" t="s">
        <v>5</v>
      </c>
      <c r="G4" s="34">
        <f t="shared" ref="G4:G14" si="0">$D$5*$D$7</f>
        <v>229.2</v>
      </c>
      <c r="H4" s="35">
        <f>IF(G3&gt;=D$12,($D$5+$G$3)*$D$7,0)</f>
        <v>256.70399999999995</v>
      </c>
      <c r="AC4" s="16">
        <f>($D$5+$G$3)*$D$18</f>
        <v>0</v>
      </c>
    </row>
    <row r="5" spans="1:29" ht="27.95" customHeight="1" x14ac:dyDescent="0.25">
      <c r="A5" s="4"/>
      <c r="B5" s="38" t="s">
        <v>19</v>
      </c>
      <c r="C5" s="1">
        <v>2000</v>
      </c>
      <c r="D5" s="30">
        <f>MROUND(C5,D12)</f>
        <v>1910</v>
      </c>
      <c r="E5" s="4"/>
      <c r="F5" s="15" t="s">
        <v>6</v>
      </c>
      <c r="G5" s="34">
        <f t="shared" si="0"/>
        <v>229.2</v>
      </c>
      <c r="H5" s="35">
        <f>IF(G3+G4&gt;=D$12,($D$5+$G$3+$H$4)*$D$7,0)</f>
        <v>287.50847999999991</v>
      </c>
      <c r="AC5" s="16">
        <f>($D$5+$G$3+$H$4)*$D$18</f>
        <v>0</v>
      </c>
    </row>
    <row r="6" spans="1:29" ht="27.95" customHeight="1" x14ac:dyDescent="0.25">
      <c r="A6" s="4"/>
      <c r="B6" s="38"/>
      <c r="C6" s="42"/>
      <c r="D6" s="43"/>
      <c r="E6" s="4"/>
      <c r="F6" s="15" t="s">
        <v>7</v>
      </c>
      <c r="G6" s="34">
        <f t="shared" si="0"/>
        <v>229.2</v>
      </c>
      <c r="H6" s="35">
        <f>IF(G3+G4+G5&gt;=D$12,($D$5+$G$3+$H$4+$H$5)*$D$7,0)</f>
        <v>322.00949759999992</v>
      </c>
      <c r="AC6" s="16">
        <f>($D$5+$G$3+$H$4+$H$5)*$D$18</f>
        <v>0</v>
      </c>
    </row>
    <row r="7" spans="1:29" ht="27.95" customHeight="1" x14ac:dyDescent="0.25">
      <c r="A7" s="60" t="s">
        <v>32</v>
      </c>
      <c r="B7" s="60"/>
      <c r="C7" s="60"/>
      <c r="D7" s="2">
        <v>0.12</v>
      </c>
      <c r="E7" s="4"/>
      <c r="F7" s="15" t="s">
        <v>8</v>
      </c>
      <c r="G7" s="34">
        <f t="shared" si="0"/>
        <v>229.2</v>
      </c>
      <c r="H7" s="35">
        <f>IF(G3+G4+G5+G6&gt;=D$12,($D$5+$G$3+$H$4+$H$5+$H$6)*$D$7,0)</f>
        <v>360.65063731199996</v>
      </c>
      <c r="AC7" s="16">
        <f>($D$5+$G$3+$H$4+$H$5+$H$6)*$D$18</f>
        <v>0</v>
      </c>
    </row>
    <row r="8" spans="1:29" ht="27.95" customHeight="1" x14ac:dyDescent="0.25">
      <c r="A8" s="60" t="s">
        <v>31</v>
      </c>
      <c r="B8" s="60"/>
      <c r="C8" s="61"/>
      <c r="D8" s="3">
        <v>3.82</v>
      </c>
      <c r="E8" s="4"/>
      <c r="F8" s="15" t="s">
        <v>9</v>
      </c>
      <c r="G8" s="34">
        <f t="shared" si="0"/>
        <v>229.2</v>
      </c>
      <c r="H8" s="35">
        <f>IF(G3+G4+G5+G6+G7&gt;=D$12,($D$5+$G$3+$H$4+$H$5+$H$6+$H$7)*$D$7,0)</f>
        <v>403.92871378943994</v>
      </c>
      <c r="AC8" s="16">
        <f>($D$5+$G$3+$H$4+$H$5+$H$6+$H$7)*$D$18</f>
        <v>0</v>
      </c>
    </row>
    <row r="9" spans="1:29" ht="27.95" customHeight="1" x14ac:dyDescent="0.25">
      <c r="A9" s="4"/>
      <c r="B9" s="38"/>
      <c r="C9" s="40"/>
      <c r="D9" s="41"/>
      <c r="E9" s="18"/>
      <c r="F9" s="15" t="s">
        <v>10</v>
      </c>
      <c r="G9" s="34">
        <f t="shared" si="0"/>
        <v>229.2</v>
      </c>
      <c r="H9" s="35">
        <f>IF(G3+G4+G5+G6+G7+G8&gt;=D$12,($D$5+$G$3+$H$4+$H$5+$H$6+$H$7+$H$8)*$D$7,0)</f>
        <v>452.40015944417274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6">
        <f>($D$5+$G$3+$H$4+$H$5+$H$6+$H$7+$H$8)*$D$18</f>
        <v>0</v>
      </c>
    </row>
    <row r="10" spans="1:29" ht="27.95" customHeight="1" x14ac:dyDescent="0.25">
      <c r="A10" s="60" t="s">
        <v>35</v>
      </c>
      <c r="B10" s="60"/>
      <c r="C10" s="61"/>
      <c r="D10" s="31">
        <f>D5/D8</f>
        <v>500</v>
      </c>
      <c r="E10" s="29" t="s">
        <v>36</v>
      </c>
      <c r="F10" s="15" t="s">
        <v>11</v>
      </c>
      <c r="G10" s="34">
        <f t="shared" si="0"/>
        <v>229.2</v>
      </c>
      <c r="H10" s="35">
        <f>IF(G3+G4+G5+G6+G7+G8+G9&gt;=D$12,($D$5+$G$3+$H$4+$H$5+$H$6+$H$7+$H$8+$H$9)*$D$7,0)</f>
        <v>506.68817857747348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16">
        <f>($D$5+$G$3+$H$4+$H$5+$H$6+$H$7+$H$8+$H$9)*$D$18</f>
        <v>0</v>
      </c>
    </row>
    <row r="11" spans="1:29" ht="27.95" customHeight="1" x14ac:dyDescent="0.25">
      <c r="A11" s="4"/>
      <c r="B11" s="38"/>
      <c r="C11" s="40"/>
      <c r="D11" s="41"/>
      <c r="E11" s="20"/>
      <c r="F11" s="15" t="s">
        <v>12</v>
      </c>
      <c r="G11" s="34">
        <f t="shared" si="0"/>
        <v>229.2</v>
      </c>
      <c r="H11" s="35">
        <f>IF(G3+G4+G5+G6+G7+G8+G9+G10&gt;=D$12,($D$5+$G$3+$H$4+$H$5+$H$6+$H$7+$H$8+$H$9+$H$10)*$D$7,0)</f>
        <v>567.49076000677019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16">
        <f>($D$5+$G$3+$H$4+$H$5+$H$6+$H$7+$H$8+$H$9+$H$10)*$D$18</f>
        <v>0</v>
      </c>
    </row>
    <row r="12" spans="1:29" ht="27.95" customHeight="1" x14ac:dyDescent="0.25">
      <c r="A12" s="60" t="s">
        <v>39</v>
      </c>
      <c r="B12" s="60"/>
      <c r="C12" s="61"/>
      <c r="D12" s="33">
        <f>50*D8</f>
        <v>191</v>
      </c>
      <c r="E12" s="20"/>
      <c r="F12" s="15" t="s">
        <v>13</v>
      </c>
      <c r="G12" s="34">
        <f t="shared" si="0"/>
        <v>229.2</v>
      </c>
      <c r="H12" s="35">
        <f>IF(G3+G4+G5+G6+G7+G8+G9+G10+G11&gt;=D$12,($D$5+$G$3+$H$4+$H$5+$H$6+$H$7+$H$8+$H$9+$H$10+$H$11)*$D$7,0)</f>
        <v>635.58965120758262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16">
        <f>($D$5+$G$3+$H$4+$H$5+$H$6+$H$7+$H$8+$H$9+$H$10+$H$11)*$D$18</f>
        <v>0</v>
      </c>
    </row>
    <row r="13" spans="1:29" ht="27.95" customHeight="1" x14ac:dyDescent="0.25">
      <c r="A13" s="48"/>
      <c r="B13" s="38"/>
      <c r="C13" s="39" t="s">
        <v>38</v>
      </c>
      <c r="D13" s="39"/>
      <c r="E13" s="20"/>
      <c r="F13" s="15" t="s">
        <v>14</v>
      </c>
      <c r="G13" s="34">
        <f t="shared" si="0"/>
        <v>229.2</v>
      </c>
      <c r="H13" s="35">
        <f>IF(G3+G4+G5+G6+G7+G8+G9+G10+G11+G12&gt;=D$12,($D$5+$G$3+$H$4+$H$5+$H$6+$H$7+$H$8+$H$9+$H$10+$H$11+$H$12)*$D$7,0)</f>
        <v>711.86040935249252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16">
        <f>($D$5+$G$3+$H$4+$H$5+$H$6+$H$7+$H$8+$H$9+$H$10+$H$11+$H$12)*$D$18</f>
        <v>0</v>
      </c>
    </row>
    <row r="14" spans="1:29" ht="27.95" customHeight="1" thickBot="1" x14ac:dyDescent="0.3">
      <c r="A14" s="4"/>
      <c r="B14" s="38"/>
      <c r="C14" s="40"/>
      <c r="D14" s="41"/>
      <c r="E14" s="20"/>
      <c r="F14" s="15" t="s">
        <v>15</v>
      </c>
      <c r="G14" s="34">
        <f t="shared" si="0"/>
        <v>229.2</v>
      </c>
      <c r="H14" s="35">
        <f>IF(G3+G4+G5+G6+G7+G8+G9+G10+G11+G12+G13&gt;=D$12,($D$5+$G$3+$H$4+$H$5+$H$6+$H$7+$H$8+$H$9+$H$10+$H$11+$H$12+$H$13)*$D$7,0)</f>
        <v>797.28365847479165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>
        <f>($D$5+$G$3+$H$4+$H$5+$H$6+$H$7+$H$8+$H$9+$H$10+$H$11+$H$12+$H$13)*$D$18</f>
        <v>0</v>
      </c>
    </row>
    <row r="15" spans="1:29" ht="27.95" customHeight="1" thickTop="1" x14ac:dyDescent="0.25">
      <c r="A15" s="4"/>
      <c r="B15" s="38"/>
      <c r="C15" s="40"/>
      <c r="D15" s="41"/>
      <c r="E15" s="20"/>
      <c r="F15" s="23" t="s">
        <v>16</v>
      </c>
      <c r="G15" s="36">
        <f>SUM(G3:G14)</f>
        <v>2750.3999999999996</v>
      </c>
      <c r="H15" s="36">
        <f>SUM(H3:H14)+SUMIF(H3:H14,0,G3:G14)</f>
        <v>5531.3141457647234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9" ht="27.95" customHeight="1" x14ac:dyDescent="0.3">
      <c r="A16" s="60" t="s">
        <v>41</v>
      </c>
      <c r="B16" s="60"/>
      <c r="C16" s="60"/>
      <c r="D16" s="50" t="s">
        <v>40</v>
      </c>
      <c r="E16" s="20"/>
      <c r="F16" s="24" t="s">
        <v>17</v>
      </c>
      <c r="G16" s="37">
        <f>G15+D5</f>
        <v>4660.3999999999996</v>
      </c>
      <c r="H16" s="37">
        <f>H15+D5</f>
        <v>7441.3141457647234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5"/>
    </row>
    <row r="17" spans="1:28" ht="27.95" customHeight="1" x14ac:dyDescent="0.2">
      <c r="E17" s="21"/>
      <c r="F17" s="21"/>
      <c r="G17" s="21"/>
      <c r="H17" s="2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27.95" customHeight="1" x14ac:dyDescent="0.25">
      <c r="A18" s="54"/>
      <c r="B18" s="54"/>
      <c r="C18" s="62"/>
      <c r="D18" s="44"/>
      <c r="E18" s="21"/>
      <c r="F18" s="21"/>
      <c r="G18" s="51" t="s">
        <v>43</v>
      </c>
      <c r="H18" s="52" t="s">
        <v>42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27.95" customHeight="1" x14ac:dyDescent="0.25">
      <c r="A19" s="58"/>
      <c r="B19" s="58"/>
      <c r="C19" s="63"/>
      <c r="D19" s="4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27.95" customHeight="1" x14ac:dyDescent="0.2">
      <c r="B20" s="27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27.95" customHeight="1" x14ac:dyDescent="0.25">
      <c r="A21" s="28"/>
      <c r="B21" s="62"/>
      <c r="C21" s="62"/>
      <c r="D21" s="46"/>
      <c r="E21" s="29"/>
      <c r="F21" s="53"/>
      <c r="G21" s="53"/>
      <c r="H21" s="4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27.95" customHeight="1" x14ac:dyDescent="0.25">
      <c r="B22" s="62"/>
      <c r="C22" s="62"/>
      <c r="D22" s="47"/>
      <c r="E22" s="29"/>
      <c r="F22" s="56"/>
      <c r="G22" s="56"/>
    </row>
    <row r="23" spans="1:28" ht="27.95" customHeight="1" x14ac:dyDescent="0.25">
      <c r="B23" s="4"/>
      <c r="C23" s="4"/>
      <c r="D23" s="4"/>
    </row>
    <row r="24" spans="1:28" ht="27.95" customHeight="1" x14ac:dyDescent="0.25">
      <c r="B24" s="4"/>
      <c r="C24" s="4"/>
      <c r="D24" s="4"/>
    </row>
    <row r="25" spans="1:28" ht="27.95" customHeight="1" x14ac:dyDescent="0.2"/>
    <row r="26" spans="1:28" ht="27.95" customHeight="1" x14ac:dyDescent="0.2"/>
    <row r="27" spans="1:28" ht="27.95" customHeight="1" x14ac:dyDescent="0.2"/>
    <row r="28" spans="1:28" ht="27.95" customHeight="1" x14ac:dyDescent="0.2"/>
    <row r="29" spans="1:28" ht="27.95" customHeight="1" x14ac:dyDescent="0.2"/>
    <row r="30" spans="1:28" ht="27.95" customHeight="1" x14ac:dyDescent="0.2"/>
    <row r="31" spans="1:28" ht="27.95" customHeight="1" x14ac:dyDescent="0.2"/>
    <row r="32" spans="1:28" ht="27.95" customHeight="1" x14ac:dyDescent="0.2"/>
    <row r="33" ht="27.95" customHeight="1" x14ac:dyDescent="0.2"/>
    <row r="34" ht="27.95" customHeight="1" x14ac:dyDescent="0.2"/>
    <row r="35" ht="27.95" customHeight="1" x14ac:dyDescent="0.2"/>
    <row r="36" ht="27.95" customHeight="1" x14ac:dyDescent="0.2"/>
    <row r="37" ht="27.95" customHeight="1" x14ac:dyDescent="0.2"/>
    <row r="38" ht="27.95" customHeight="1" x14ac:dyDescent="0.2"/>
    <row r="39" ht="27.95" customHeight="1" x14ac:dyDescent="0.2"/>
    <row r="40" ht="27.95" customHeight="1" x14ac:dyDescent="0.2"/>
    <row r="41" ht="27.95" customHeight="1" x14ac:dyDescent="0.2"/>
    <row r="42" ht="27.95" customHeight="1" x14ac:dyDescent="0.2"/>
    <row r="43" ht="27.95" customHeight="1" x14ac:dyDescent="0.2"/>
    <row r="44" ht="27.95" customHeight="1" x14ac:dyDescent="0.2"/>
    <row r="45" ht="27.95" customHeight="1" x14ac:dyDescent="0.2"/>
    <row r="46" ht="27.95" customHeight="1" x14ac:dyDescent="0.2"/>
    <row r="47" ht="27.95" customHeight="1" x14ac:dyDescent="0.2"/>
    <row r="48" ht="27.95" customHeight="1" x14ac:dyDescent="0.2"/>
    <row r="49" ht="27.95" customHeight="1" x14ac:dyDescent="0.2"/>
    <row r="50" ht="27.95" customHeight="1" x14ac:dyDescent="0.2"/>
    <row r="51" ht="27.95" customHeight="1" x14ac:dyDescent="0.2"/>
    <row r="52" ht="27.95" customHeight="1" x14ac:dyDescent="0.2"/>
    <row r="53" ht="27.95" customHeight="1" x14ac:dyDescent="0.2"/>
    <row r="54" ht="27.95" customHeight="1" x14ac:dyDescent="0.2"/>
    <row r="55" ht="27.95" customHeight="1" x14ac:dyDescent="0.2"/>
    <row r="56" ht="27.95" customHeight="1" x14ac:dyDescent="0.2"/>
    <row r="57" ht="27.95" customHeight="1" x14ac:dyDescent="0.2"/>
    <row r="58" ht="27.95" customHeight="1" x14ac:dyDescent="0.2"/>
    <row r="59" ht="27.95" customHeight="1" x14ac:dyDescent="0.2"/>
    <row r="60" ht="27.95" customHeight="1" x14ac:dyDescent="0.2"/>
    <row r="61" ht="27.95" customHeight="1" x14ac:dyDescent="0.2"/>
    <row r="62" ht="27.95" customHeight="1" x14ac:dyDescent="0.2"/>
    <row r="63" ht="27.95" customHeight="1" x14ac:dyDescent="0.2"/>
    <row r="64" ht="27.95" customHeight="1" x14ac:dyDescent="0.2"/>
    <row r="65" ht="27.95" customHeight="1" x14ac:dyDescent="0.2"/>
    <row r="66" ht="27.95" customHeight="1" x14ac:dyDescent="0.2"/>
    <row r="67" ht="27.95" customHeight="1" x14ac:dyDescent="0.2"/>
    <row r="68" ht="27.95" customHeight="1" x14ac:dyDescent="0.2"/>
    <row r="69" ht="27.95" customHeight="1" x14ac:dyDescent="0.2"/>
    <row r="70" ht="27.95" customHeight="1" x14ac:dyDescent="0.2"/>
    <row r="71" ht="27.95" customHeight="1" x14ac:dyDescent="0.2"/>
    <row r="72" ht="27.95" customHeight="1" x14ac:dyDescent="0.2"/>
    <row r="73" ht="27.95" customHeight="1" x14ac:dyDescent="0.2"/>
    <row r="74" ht="27.95" customHeight="1" x14ac:dyDescent="0.2"/>
    <row r="75" ht="27.95" customHeight="1" x14ac:dyDescent="0.2"/>
    <row r="76" ht="27.95" customHeight="1" x14ac:dyDescent="0.2"/>
    <row r="77" ht="27.95" customHeight="1" x14ac:dyDescent="0.2"/>
    <row r="78" ht="27.95" customHeight="1" x14ac:dyDescent="0.2"/>
    <row r="79" ht="27.95" customHeight="1" x14ac:dyDescent="0.2"/>
    <row r="80" ht="27.95" customHeight="1" x14ac:dyDescent="0.2"/>
    <row r="81" ht="27.95" customHeight="1" x14ac:dyDescent="0.2"/>
    <row r="82" ht="27.95" customHeight="1" x14ac:dyDescent="0.2"/>
    <row r="83" ht="27.95" customHeight="1" x14ac:dyDescent="0.2"/>
    <row r="84" ht="27.95" customHeight="1" x14ac:dyDescent="0.2"/>
    <row r="85" ht="27.95" customHeight="1" x14ac:dyDescent="0.2"/>
    <row r="86" ht="27.95" customHeight="1" x14ac:dyDescent="0.2"/>
    <row r="87" ht="27.95" customHeight="1" x14ac:dyDescent="0.2"/>
    <row r="88" ht="27.95" customHeight="1" x14ac:dyDescent="0.2"/>
    <row r="89" ht="27.95" customHeight="1" x14ac:dyDescent="0.2"/>
    <row r="90" ht="27.95" customHeight="1" x14ac:dyDescent="0.2"/>
    <row r="91" ht="27.95" customHeight="1" x14ac:dyDescent="0.2"/>
    <row r="92" ht="27.95" customHeight="1" x14ac:dyDescent="0.2"/>
    <row r="93" ht="27.95" customHeight="1" x14ac:dyDescent="0.2"/>
    <row r="94" ht="27.95" customHeight="1" x14ac:dyDescent="0.2"/>
    <row r="95" ht="27.95" customHeight="1" x14ac:dyDescent="0.2"/>
    <row r="96" ht="27.95" customHeight="1" x14ac:dyDescent="0.2"/>
    <row r="97" ht="27.95" customHeight="1" x14ac:dyDescent="0.2"/>
    <row r="98" ht="27.95" customHeight="1" x14ac:dyDescent="0.2"/>
  </sheetData>
  <sheetProtection algorithmName="SHA-512" hashValue="kbzdbH+nSnn7aT9lG8T598wU9/wdOAn3Zowd6T/OaNRKwLcKR5yCgxweeGowCDb/PTPr01aw/Z2TET17Aneglg==" saltValue="faB3QUJNnHZSvTj9fivgwA==" spinCount="100000" sheet="1" objects="1" scenarios="1"/>
  <mergeCells count="12">
    <mergeCell ref="A18:C18"/>
    <mergeCell ref="A19:C19"/>
    <mergeCell ref="B21:C21"/>
    <mergeCell ref="F21:G21"/>
    <mergeCell ref="B22:C22"/>
    <mergeCell ref="F22:G22"/>
    <mergeCell ref="A8:C8"/>
    <mergeCell ref="A10:C10"/>
    <mergeCell ref="A12:C12"/>
    <mergeCell ref="A16:C16"/>
    <mergeCell ref="C2:D2"/>
    <mergeCell ref="A7:C7"/>
  </mergeCells>
  <hyperlinks>
    <hyperlink ref="D16" r:id="rId1" xr:uid="{00000000-0004-0000-0100-000000000000}"/>
    <hyperlink ref="H18" r:id="rId2" xr:uid="{00000000-0004-0000-0100-000001000000}"/>
  </hyperlinks>
  <pageMargins left="0.25" right="0.25" top="0.75" bottom="0.75" header="0.3" footer="0.3"/>
  <pageSetup paperSize="9" scale="56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NEXT</vt:lpstr>
      <vt:lpstr>SIMULADOR NEXT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YAHAGI</dc:creator>
  <cp:lastModifiedBy>André Yahagi</cp:lastModifiedBy>
  <cp:revision>1</cp:revision>
  <dcterms:created xsi:type="dcterms:W3CDTF">2018-07-09T22:28:11Z</dcterms:created>
  <dcterms:modified xsi:type="dcterms:W3CDTF">2019-08-02T05:36:28Z</dcterms:modified>
</cp:coreProperties>
</file>