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oyo\Documents\untin\"/>
    </mc:Choice>
  </mc:AlternateContent>
  <bookViews>
    <workbookView xWindow="0" yWindow="0" windowWidth="28800" windowHeight="12210" tabRatio="1000" firstSheet="1" activeTab="10"/>
  </bookViews>
  <sheets>
    <sheet name="Sheet1" sheetId="8" r:id="rId1"/>
    <sheet name="貼り付け" sheetId="1" r:id="rId2"/>
    <sheet name="缶Ｎo無" sheetId="5" r:id="rId3"/>
    <sheet name="豊通" sheetId="11" r:id="rId4"/>
    <sheet name="豊通(THI)" sheetId="12" r:id="rId5"/>
    <sheet name="豊通(CAN NO.無)" sheetId="2" r:id="rId6"/>
    <sheet name="豊通(タイスタンレー)" sheetId="22" r:id="rId7"/>
    <sheet name="豊通(CAN NO.無) (ﾍﾞﾄﾅﾑ)" sheetId="20" r:id="rId8"/>
    <sheet name="長瀬産業" sheetId="18" r:id="rId9"/>
    <sheet name="伊坂長城" sheetId="7" r:id="rId10"/>
    <sheet name="伊坂(タミヤ)" sheetId="10" r:id="rId11"/>
    <sheet name="極東" sheetId="4" r:id="rId12"/>
    <sheet name="セニー" sheetId="6" r:id="rId13"/>
    <sheet name="ATEジャパン" sheetId="25" r:id="rId14"/>
    <sheet name="TKTT用" sheetId="21" r:id="rId15"/>
    <sheet name="納入先名" sheetId="3" r:id="rId16"/>
    <sheet name="納入先名２" sheetId="13" r:id="rId17"/>
    <sheet name="Sheet2" sheetId="14" r:id="rId18"/>
    <sheet name="Sheet3" sheetId="15" r:id="rId19"/>
    <sheet name="引き取り対応" sheetId="23" r:id="rId20"/>
  </sheets>
  <externalReferences>
    <externalReference r:id="rId21"/>
  </externalReferences>
  <definedNames>
    <definedName name="_xlnm._FilterDatabase" localSheetId="15" hidden="1">納入先名!$A$1:$H$172</definedName>
    <definedName name="_xlnm.Print_Area" localSheetId="13">ATEジャパン!$A$1:$K$40</definedName>
    <definedName name="_xlnm.Print_Area" localSheetId="10">'伊坂(タミヤ)'!$A$1:$K$27</definedName>
    <definedName name="_xlnm.Print_Area" localSheetId="9">伊坂長城!$A$1:$K$27</definedName>
    <definedName name="_xlnm.Print_Area" localSheetId="2">缶Ｎo無!$A$1:$K$40</definedName>
    <definedName name="_xlnm.Print_Area" localSheetId="8">長瀬産業!$A$1:$K$40</definedName>
    <definedName name="_xlnm.Print_Area" localSheetId="3">豊通!$A$1:$K$39</definedName>
    <definedName name="_xlnm.Print_Area" localSheetId="5">'豊通(CAN NO.無)'!$A$1:$K$39</definedName>
    <definedName name="_xlnm.Print_Area" localSheetId="7">'豊通(CAN NO.無) (ﾍﾞﾄﾅﾑ)'!$A$1:$K$45</definedName>
    <definedName name="_xlnm.Print_Area" localSheetId="4">'豊通(THI)'!$A$1:$K$39</definedName>
    <definedName name="_xlnm.Print_Area" localSheetId="6">'豊通(タイスタンレー)'!$A$1:$K$40</definedName>
    <definedName name="セニー向け先">[1]納入先名!$A$135:$G$144</definedName>
    <definedName name="セニー担当者">[1]納入先名!$A$135:$D$144</definedName>
    <definedName name="担当者">納入先名!$A$1:$D$520</definedName>
    <definedName name="納入先名">納入先名!$A$1:$H$520</definedName>
  </definedNames>
  <calcPr calcId="162913"/>
</workbook>
</file>

<file path=xl/calcChain.xml><?xml version="1.0" encoding="utf-8"?>
<calcChain xmlns="http://schemas.openxmlformats.org/spreadsheetml/2006/main">
  <c r="B6" i="18" l="1"/>
  <c r="C31" i="25" l="1"/>
  <c r="C29" i="25"/>
  <c r="C27" i="25"/>
  <c r="C25" i="25"/>
  <c r="B3" i="25" l="1"/>
  <c r="B4" i="25" l="1"/>
  <c r="B6" i="25" s="1"/>
  <c r="A36" i="25"/>
  <c r="C35" i="25"/>
  <c r="A35" i="25"/>
  <c r="A34" i="25"/>
  <c r="C33" i="25"/>
  <c r="A33" i="25"/>
  <c r="A32" i="25"/>
  <c r="A31" i="25"/>
  <c r="A30" i="25"/>
  <c r="A29" i="25"/>
  <c r="A28" i="25"/>
  <c r="A27" i="25"/>
  <c r="A26" i="25"/>
  <c r="M25" i="25"/>
  <c r="A25" i="25"/>
  <c r="M24" i="25"/>
  <c r="A24" i="25"/>
  <c r="M23" i="25"/>
  <c r="C23" i="25"/>
  <c r="A23" i="25"/>
  <c r="M22" i="25"/>
  <c r="A22" i="25"/>
  <c r="M21" i="25"/>
  <c r="C21" i="25"/>
  <c r="A21" i="25"/>
  <c r="M20" i="25"/>
  <c r="A20" i="25"/>
  <c r="M19" i="25"/>
  <c r="C19" i="25"/>
  <c r="A19" i="25"/>
  <c r="M18" i="25"/>
  <c r="A18" i="25"/>
  <c r="M17" i="25"/>
  <c r="C17" i="25"/>
  <c r="A17" i="25"/>
  <c r="M16" i="25"/>
  <c r="A16" i="25"/>
  <c r="M15" i="25"/>
  <c r="C15" i="25"/>
  <c r="A15" i="25"/>
  <c r="M14" i="25"/>
  <c r="A14" i="25"/>
  <c r="M13" i="25"/>
  <c r="C13" i="25"/>
  <c r="A13" i="25"/>
  <c r="G10" i="25"/>
  <c r="B10" i="25"/>
  <c r="B9" i="25"/>
  <c r="B8" i="25"/>
  <c r="E7" i="25"/>
  <c r="B7" i="25"/>
  <c r="F5" i="25"/>
  <c r="B5" i="25"/>
  <c r="F38" i="25" s="1"/>
  <c r="F2" i="25"/>
  <c r="B2" i="25"/>
  <c r="G9" i="25" l="1"/>
  <c r="B37" i="25"/>
  <c r="I9" i="25"/>
  <c r="D4" i="25"/>
  <c r="A36" i="22"/>
  <c r="C35" i="22"/>
  <c r="A35" i="22"/>
  <c r="A34" i="22"/>
  <c r="C33" i="22"/>
  <c r="A33" i="22"/>
  <c r="A32" i="22"/>
  <c r="C31" i="22"/>
  <c r="A31" i="22"/>
  <c r="A30" i="22"/>
  <c r="C29" i="22"/>
  <c r="A29" i="22"/>
  <c r="A28" i="22"/>
  <c r="M27" i="22"/>
  <c r="C27" i="22"/>
  <c r="A27" i="22"/>
  <c r="M26" i="22"/>
  <c r="A26" i="22"/>
  <c r="M25" i="22"/>
  <c r="C25" i="22"/>
  <c r="A25" i="22"/>
  <c r="M24" i="22"/>
  <c r="A24" i="22"/>
  <c r="M23" i="22"/>
  <c r="C23" i="22"/>
  <c r="A23" i="22"/>
  <c r="M22" i="22"/>
  <c r="A22" i="22"/>
  <c r="M21" i="22"/>
  <c r="C21" i="22"/>
  <c r="A21" i="22"/>
  <c r="M20" i="22"/>
  <c r="A20" i="22"/>
  <c r="M19" i="22"/>
  <c r="C19" i="22"/>
  <c r="A19" i="22"/>
  <c r="M18" i="22"/>
  <c r="A18" i="22"/>
  <c r="M17" i="22"/>
  <c r="C17" i="22"/>
  <c r="A17" i="22"/>
  <c r="M16" i="22"/>
  <c r="A16" i="22"/>
  <c r="C15" i="22"/>
  <c r="A15" i="22"/>
  <c r="A14" i="22"/>
  <c r="C13" i="22"/>
  <c r="A13" i="22"/>
  <c r="G10" i="22"/>
  <c r="B10" i="22"/>
  <c r="B9" i="22"/>
  <c r="B8" i="22"/>
  <c r="E7" i="22"/>
  <c r="B7" i="22"/>
  <c r="B6" i="22"/>
  <c r="E5" i="22"/>
  <c r="B5" i="22"/>
  <c r="F38" i="22" s="1"/>
  <c r="B4" i="22"/>
  <c r="I9" i="22" s="1"/>
  <c r="F2" i="22"/>
  <c r="B2" i="22"/>
  <c r="B3" i="22" l="1"/>
  <c r="C4" i="22"/>
  <c r="D11" i="22" s="1"/>
  <c r="G9" i="22"/>
  <c r="B37" i="22"/>
  <c r="D4" i="22"/>
  <c r="C6" i="22"/>
  <c r="M80" i="21"/>
  <c r="M79" i="21"/>
  <c r="M78" i="21"/>
  <c r="M77" i="21"/>
  <c r="M76" i="21"/>
  <c r="M75" i="21"/>
  <c r="M74" i="21"/>
  <c r="M73" i="21"/>
  <c r="M72" i="21"/>
  <c r="M71" i="21"/>
  <c r="M70" i="21"/>
  <c r="M69" i="21"/>
  <c r="A36" i="21"/>
  <c r="C35" i="21"/>
  <c r="I35" i="21" s="1"/>
  <c r="A35" i="21"/>
  <c r="A34" i="21"/>
  <c r="C33" i="21"/>
  <c r="K33" i="21" s="1"/>
  <c r="A33" i="21"/>
  <c r="A32" i="21"/>
  <c r="C31" i="21"/>
  <c r="K31" i="21" s="1"/>
  <c r="A31" i="21"/>
  <c r="A30" i="21"/>
  <c r="C29" i="21"/>
  <c r="K29" i="21" s="1"/>
  <c r="A29" i="21"/>
  <c r="A28" i="21"/>
  <c r="C27" i="21"/>
  <c r="I27" i="21" s="1"/>
  <c r="A27" i="21"/>
  <c r="A26" i="21"/>
  <c r="C25" i="21"/>
  <c r="K25" i="21" s="1"/>
  <c r="A25" i="21"/>
  <c r="A24" i="21"/>
  <c r="C23" i="21"/>
  <c r="K23" i="21" s="1"/>
  <c r="A23" i="21"/>
  <c r="A22" i="21"/>
  <c r="C21" i="21"/>
  <c r="K21" i="21" s="1"/>
  <c r="A21" i="21"/>
  <c r="A20" i="21"/>
  <c r="C19" i="21"/>
  <c r="I19" i="21" s="1"/>
  <c r="A19" i="21"/>
  <c r="A18" i="21"/>
  <c r="C17" i="21"/>
  <c r="K17" i="21" s="1"/>
  <c r="A17" i="21"/>
  <c r="A16" i="21"/>
  <c r="C15" i="21"/>
  <c r="K15" i="21" s="1"/>
  <c r="A15" i="21"/>
  <c r="A14" i="21"/>
  <c r="C13" i="21"/>
  <c r="I13" i="21" s="1"/>
  <c r="A13" i="21"/>
  <c r="G10" i="21"/>
  <c r="B10" i="21"/>
  <c r="B9" i="21"/>
  <c r="B8" i="21"/>
  <c r="E7" i="21"/>
  <c r="B7" i="21"/>
  <c r="B6" i="21"/>
  <c r="E5" i="21"/>
  <c r="B5" i="21"/>
  <c r="F38" i="21" s="1"/>
  <c r="B4" i="21"/>
  <c r="I9" i="21" s="1"/>
  <c r="B3" i="21"/>
  <c r="F2" i="21"/>
  <c r="B2" i="21"/>
  <c r="K35" i="21" l="1"/>
  <c r="K27" i="21"/>
  <c r="I29" i="21"/>
  <c r="K19" i="21"/>
  <c r="I21" i="21"/>
  <c r="B37" i="21"/>
  <c r="I17" i="21"/>
  <c r="I25" i="21"/>
  <c r="I33" i="21"/>
  <c r="D4" i="21"/>
  <c r="E11" i="21" s="1"/>
  <c r="C6" i="21"/>
  <c r="G9" i="21"/>
  <c r="K13" i="21"/>
  <c r="I15" i="21"/>
  <c r="I23" i="21"/>
  <c r="I31" i="21"/>
  <c r="C41" i="20"/>
  <c r="A41" i="20"/>
  <c r="A42" i="20"/>
  <c r="C39" i="20" l="1"/>
  <c r="C37" i="20"/>
  <c r="A40" i="20"/>
  <c r="A39" i="20"/>
  <c r="A37" i="20"/>
  <c r="A38" i="20"/>
  <c r="A36" i="20"/>
  <c r="C35" i="20"/>
  <c r="A35" i="20"/>
  <c r="A34" i="20"/>
  <c r="C33" i="20"/>
  <c r="A33" i="20"/>
  <c r="A32" i="20"/>
  <c r="C31" i="20"/>
  <c r="A31" i="20"/>
  <c r="A30" i="20"/>
  <c r="C29" i="20"/>
  <c r="A29" i="20"/>
  <c r="A28" i="20"/>
  <c r="M27" i="20"/>
  <c r="C27" i="20"/>
  <c r="A27" i="20"/>
  <c r="M26" i="20"/>
  <c r="A26" i="20"/>
  <c r="M25" i="20"/>
  <c r="C25" i="20"/>
  <c r="A25" i="20"/>
  <c r="M24" i="20"/>
  <c r="A24" i="20"/>
  <c r="M23" i="20"/>
  <c r="C23" i="20"/>
  <c r="A23" i="20"/>
  <c r="M22" i="20"/>
  <c r="A22" i="20"/>
  <c r="M21" i="20"/>
  <c r="C21" i="20"/>
  <c r="A21" i="20"/>
  <c r="M20" i="20"/>
  <c r="A20" i="20"/>
  <c r="M19" i="20"/>
  <c r="C19" i="20"/>
  <c r="A19" i="20"/>
  <c r="M18" i="20"/>
  <c r="A18" i="20"/>
  <c r="M17" i="20"/>
  <c r="C17" i="20"/>
  <c r="A17" i="20"/>
  <c r="M16" i="20"/>
  <c r="A16" i="20"/>
  <c r="C15" i="20"/>
  <c r="A15" i="20"/>
  <c r="A14" i="20"/>
  <c r="C13" i="20"/>
  <c r="A13" i="20"/>
  <c r="G10" i="20"/>
  <c r="B10" i="20"/>
  <c r="B9" i="20"/>
  <c r="B8" i="20"/>
  <c r="E7" i="20"/>
  <c r="B7" i="20"/>
  <c r="B6" i="20"/>
  <c r="E5" i="20"/>
  <c r="B5" i="20"/>
  <c r="F44" i="20" s="1"/>
  <c r="B4" i="20"/>
  <c r="I9" i="20" s="1"/>
  <c r="F2" i="20"/>
  <c r="B2" i="20"/>
  <c r="B43" i="20" l="1"/>
  <c r="C4" i="20"/>
  <c r="D11" i="20" s="1"/>
  <c r="D4" i="20"/>
  <c r="C6" i="20"/>
  <c r="B3" i="20"/>
  <c r="G9" i="20"/>
  <c r="C35" i="4"/>
  <c r="C33" i="4"/>
  <c r="K33" i="4" s="1"/>
  <c r="C31" i="4"/>
  <c r="C29" i="4"/>
  <c r="C27" i="4"/>
  <c r="C25" i="4"/>
  <c r="C23" i="4"/>
  <c r="C21" i="4"/>
  <c r="C19" i="4"/>
  <c r="C17" i="4"/>
  <c r="C15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C13" i="4"/>
  <c r="I13" i="4" s="1"/>
  <c r="A13" i="4"/>
  <c r="I35" i="4" l="1"/>
  <c r="K25" i="4"/>
  <c r="K23" i="4"/>
  <c r="K17" i="4"/>
  <c r="K35" i="4"/>
  <c r="I15" i="4"/>
  <c r="I19" i="4"/>
  <c r="I27" i="4"/>
  <c r="I21" i="4"/>
  <c r="K29" i="4"/>
  <c r="I23" i="4"/>
  <c r="K31" i="4"/>
  <c r="K15" i="4"/>
  <c r="I31" i="4"/>
  <c r="K27" i="4"/>
  <c r="I25" i="4"/>
  <c r="K19" i="4"/>
  <c r="I17" i="4"/>
  <c r="I29" i="4"/>
  <c r="I33" i="4"/>
  <c r="K21" i="4"/>
  <c r="B37" i="4"/>
  <c r="K13" i="4"/>
  <c r="B6" i="4"/>
  <c r="B6" i="2"/>
  <c r="B6" i="12"/>
  <c r="B6" i="11"/>
  <c r="B6" i="5" l="1"/>
  <c r="B7" i="5"/>
  <c r="B8" i="5"/>
  <c r="B7" i="18"/>
  <c r="A36" i="18"/>
  <c r="C35" i="18"/>
  <c r="A35" i="18"/>
  <c r="A34" i="18"/>
  <c r="C33" i="18"/>
  <c r="A33" i="18"/>
  <c r="A32" i="18"/>
  <c r="C31" i="18"/>
  <c r="A31" i="18"/>
  <c r="A30" i="18"/>
  <c r="C29" i="18"/>
  <c r="A29" i="18"/>
  <c r="A28" i="18"/>
  <c r="C27" i="18"/>
  <c r="A27" i="18"/>
  <c r="A26" i="18"/>
  <c r="M25" i="18"/>
  <c r="C25" i="18"/>
  <c r="A25" i="18"/>
  <c r="M24" i="18"/>
  <c r="A24" i="18"/>
  <c r="M23" i="18"/>
  <c r="C23" i="18"/>
  <c r="A23" i="18"/>
  <c r="M22" i="18"/>
  <c r="A22" i="18"/>
  <c r="M21" i="18"/>
  <c r="C21" i="18"/>
  <c r="A21" i="18"/>
  <c r="M20" i="18"/>
  <c r="A20" i="18"/>
  <c r="M19" i="18"/>
  <c r="C19" i="18"/>
  <c r="A19" i="18"/>
  <c r="M18" i="18"/>
  <c r="A18" i="18"/>
  <c r="M17" i="18"/>
  <c r="C17" i="18"/>
  <c r="A17" i="18"/>
  <c r="M16" i="18"/>
  <c r="A16" i="18"/>
  <c r="M15" i="18"/>
  <c r="C15" i="18"/>
  <c r="A15" i="18"/>
  <c r="M14" i="18"/>
  <c r="A14" i="18"/>
  <c r="M13" i="18"/>
  <c r="C13" i="18"/>
  <c r="A13" i="18"/>
  <c r="G10" i="18"/>
  <c r="B10" i="18"/>
  <c r="B9" i="18"/>
  <c r="B8" i="18"/>
  <c r="E7" i="18"/>
  <c r="F5" i="18"/>
  <c r="B5" i="18"/>
  <c r="F38" i="18" s="1"/>
  <c r="B4" i="18"/>
  <c r="C6" i="18" s="1"/>
  <c r="B3" i="18"/>
  <c r="F2" i="18"/>
  <c r="B2" i="18"/>
  <c r="I9" i="18" l="1"/>
  <c r="B37" i="18"/>
  <c r="D4" i="18"/>
  <c r="G9" i="18"/>
  <c r="B9" i="2"/>
  <c r="A14" i="2" l="1"/>
  <c r="A14" i="12"/>
  <c r="A14" i="11"/>
  <c r="A14" i="5"/>
  <c r="A13" i="2" l="1"/>
  <c r="C13" i="2"/>
  <c r="A15" i="2"/>
  <c r="C15" i="2"/>
  <c r="A16" i="2"/>
  <c r="A17" i="2"/>
  <c r="C17" i="2"/>
  <c r="A18" i="2"/>
  <c r="A19" i="2"/>
  <c r="C19" i="2"/>
  <c r="A20" i="2"/>
  <c r="A21" i="2"/>
  <c r="C21" i="2"/>
  <c r="A22" i="2"/>
  <c r="A23" i="2"/>
  <c r="C23" i="2"/>
  <c r="A24" i="2"/>
  <c r="A25" i="2"/>
  <c r="C25" i="2"/>
  <c r="A26" i="2"/>
  <c r="A27" i="2"/>
  <c r="C27" i="2"/>
  <c r="A28" i="2"/>
  <c r="A29" i="2"/>
  <c r="C29" i="2"/>
  <c r="A30" i="2"/>
  <c r="A31" i="2"/>
  <c r="C31" i="2"/>
  <c r="A32" i="2"/>
  <c r="A33" i="2"/>
  <c r="C33" i="2"/>
  <c r="A34" i="2"/>
  <c r="A35" i="2"/>
  <c r="C35" i="2"/>
  <c r="A36" i="2"/>
  <c r="B37" i="2" l="1"/>
  <c r="A36" i="12"/>
  <c r="C35" i="12"/>
  <c r="K35" i="12" s="1"/>
  <c r="A35" i="12"/>
  <c r="A34" i="12"/>
  <c r="C33" i="12"/>
  <c r="K33" i="12" s="1"/>
  <c r="A33" i="12"/>
  <c r="A32" i="12"/>
  <c r="C31" i="12"/>
  <c r="K31" i="12" s="1"/>
  <c r="A31" i="12"/>
  <c r="A30" i="12"/>
  <c r="C29" i="12"/>
  <c r="I29" i="12" s="1"/>
  <c r="A29" i="12"/>
  <c r="A28" i="12"/>
  <c r="C27" i="12"/>
  <c r="K27" i="12" s="1"/>
  <c r="A27" i="12"/>
  <c r="A26" i="12"/>
  <c r="C25" i="12"/>
  <c r="I25" i="12" s="1"/>
  <c r="A25" i="12"/>
  <c r="A24" i="12"/>
  <c r="C23" i="12"/>
  <c r="K23" i="12" s="1"/>
  <c r="A23" i="12"/>
  <c r="A22" i="12"/>
  <c r="C21" i="12"/>
  <c r="I21" i="12" s="1"/>
  <c r="A21" i="12"/>
  <c r="A20" i="12"/>
  <c r="C19" i="12"/>
  <c r="I19" i="12" s="1"/>
  <c r="A19" i="12"/>
  <c r="A18" i="12"/>
  <c r="C17" i="12"/>
  <c r="I17" i="12" s="1"/>
  <c r="A17" i="12"/>
  <c r="A16" i="12"/>
  <c r="C15" i="12"/>
  <c r="K15" i="12" s="1"/>
  <c r="A15" i="12"/>
  <c r="C13" i="12"/>
  <c r="I13" i="12" s="1"/>
  <c r="A13" i="12"/>
  <c r="A13" i="11"/>
  <c r="C13" i="11"/>
  <c r="A15" i="11"/>
  <c r="C15" i="11"/>
  <c r="A16" i="11"/>
  <c r="A17" i="11"/>
  <c r="C17" i="11"/>
  <c r="A18" i="11"/>
  <c r="A19" i="11"/>
  <c r="C19" i="11"/>
  <c r="A20" i="11"/>
  <c r="A21" i="11"/>
  <c r="C21" i="11"/>
  <c r="A22" i="11"/>
  <c r="A23" i="11"/>
  <c r="C23" i="11"/>
  <c r="A24" i="11"/>
  <c r="A25" i="11"/>
  <c r="C25" i="11"/>
  <c r="A26" i="11"/>
  <c r="A27" i="11"/>
  <c r="C27" i="11"/>
  <c r="A28" i="11"/>
  <c r="A29" i="11"/>
  <c r="C29" i="11"/>
  <c r="A30" i="11"/>
  <c r="A31" i="11"/>
  <c r="C31" i="11"/>
  <c r="A32" i="11"/>
  <c r="A33" i="11"/>
  <c r="C33" i="11"/>
  <c r="A34" i="11"/>
  <c r="A35" i="11"/>
  <c r="C35" i="11"/>
  <c r="A36" i="11"/>
  <c r="C35" i="5"/>
  <c r="C33" i="5"/>
  <c r="C31" i="5"/>
  <c r="C29" i="5"/>
  <c r="C27" i="5"/>
  <c r="C25" i="5"/>
  <c r="C23" i="5"/>
  <c r="C21" i="5"/>
  <c r="C19" i="5"/>
  <c r="B10" i="5"/>
  <c r="E7" i="12"/>
  <c r="B7" i="12"/>
  <c r="E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C17" i="5"/>
  <c r="A17" i="5"/>
  <c r="A16" i="5"/>
  <c r="C15" i="5"/>
  <c r="A15" i="5"/>
  <c r="C13" i="5"/>
  <c r="A13" i="5"/>
  <c r="K29" i="11" l="1"/>
  <c r="I29" i="11"/>
  <c r="K35" i="11"/>
  <c r="I35" i="11"/>
  <c r="K31" i="11"/>
  <c r="I31" i="11"/>
  <c r="K33" i="11"/>
  <c r="I33" i="11"/>
  <c r="K27" i="11"/>
  <c r="I27" i="11"/>
  <c r="K19" i="11"/>
  <c r="I19" i="11"/>
  <c r="K13" i="11"/>
  <c r="I13" i="11"/>
  <c r="K21" i="11"/>
  <c r="I21" i="11"/>
  <c r="K23" i="11"/>
  <c r="I23" i="11"/>
  <c r="K15" i="11"/>
  <c r="I15" i="11"/>
  <c r="K25" i="11"/>
  <c r="I25" i="11"/>
  <c r="K17" i="11"/>
  <c r="I17" i="11"/>
  <c r="K19" i="12"/>
  <c r="I33" i="12"/>
  <c r="I27" i="12"/>
  <c r="K17" i="12"/>
  <c r="I31" i="12"/>
  <c r="I23" i="12"/>
  <c r="I15" i="12"/>
  <c r="I35" i="12"/>
  <c r="K25" i="12"/>
  <c r="B37" i="12"/>
  <c r="K29" i="12"/>
  <c r="K21" i="12"/>
  <c r="K13" i="12"/>
  <c r="B37" i="5"/>
  <c r="B37" i="11"/>
  <c r="A15" i="6"/>
  <c r="A16" i="6"/>
  <c r="A17" i="6"/>
  <c r="A18" i="6"/>
  <c r="A19" i="6"/>
  <c r="A20" i="6"/>
  <c r="A21" i="6"/>
  <c r="A22" i="6"/>
  <c r="A23" i="6"/>
  <c r="A24" i="6"/>
  <c r="A14" i="6"/>
  <c r="A13" i="6"/>
  <c r="A14" i="10"/>
  <c r="A15" i="10"/>
  <c r="A16" i="10"/>
  <c r="A17" i="10"/>
  <c r="A18" i="10"/>
  <c r="A19" i="10"/>
  <c r="A20" i="10"/>
  <c r="A21" i="10"/>
  <c r="A22" i="10"/>
  <c r="A23" i="10"/>
  <c r="A24" i="10"/>
  <c r="A13" i="10"/>
  <c r="A14" i="7"/>
  <c r="A15" i="7"/>
  <c r="A16" i="7"/>
  <c r="A17" i="7"/>
  <c r="A18" i="7"/>
  <c r="A19" i="7"/>
  <c r="A20" i="7"/>
  <c r="A21" i="7"/>
  <c r="A22" i="7"/>
  <c r="A23" i="7"/>
  <c r="A24" i="7"/>
  <c r="A13" i="7"/>
  <c r="M13" i="5" l="1"/>
  <c r="M70" i="11" l="1"/>
  <c r="M71" i="11"/>
  <c r="M72" i="11"/>
  <c r="M73" i="11"/>
  <c r="M74" i="11"/>
  <c r="M75" i="11"/>
  <c r="M76" i="11"/>
  <c r="M77" i="11"/>
  <c r="M78" i="11"/>
  <c r="M79" i="11"/>
  <c r="M80" i="11"/>
  <c r="M69" i="11"/>
  <c r="M14" i="5"/>
  <c r="M15" i="5"/>
  <c r="M16" i="5"/>
  <c r="M17" i="5"/>
  <c r="M18" i="5"/>
  <c r="M19" i="5"/>
  <c r="M20" i="5"/>
  <c r="M21" i="5"/>
  <c r="M22" i="5"/>
  <c r="M23" i="5"/>
  <c r="M24" i="5"/>
  <c r="M25" i="5"/>
  <c r="M16" i="2"/>
  <c r="M17" i="2"/>
  <c r="M18" i="2"/>
  <c r="M19" i="2"/>
  <c r="M20" i="2"/>
  <c r="M21" i="2"/>
  <c r="M22" i="2"/>
  <c r="M23" i="2"/>
  <c r="M24" i="2"/>
  <c r="M25" i="2"/>
  <c r="M26" i="2"/>
  <c r="M27" i="2"/>
  <c r="F8" i="10" l="1"/>
  <c r="B3" i="10" l="1"/>
  <c r="B3" i="12"/>
  <c r="G10" i="10" l="1"/>
  <c r="F26" i="6" l="1"/>
  <c r="B8" i="2" l="1"/>
  <c r="B4" i="10" l="1"/>
  <c r="C4" i="10" l="1"/>
  <c r="G9" i="10"/>
  <c r="D4" i="10"/>
  <c r="B6" i="10"/>
  <c r="I9" i="10"/>
  <c r="F7" i="10"/>
  <c r="B2" i="6" l="1"/>
  <c r="E2" i="6"/>
  <c r="B4" i="6"/>
  <c r="B5" i="6"/>
  <c r="D5" i="6"/>
  <c r="B7" i="6"/>
  <c r="E7" i="6"/>
  <c r="B8" i="6"/>
  <c r="H8" i="6"/>
  <c r="B9" i="6"/>
  <c r="B10" i="6"/>
  <c r="C13" i="6"/>
  <c r="C14" i="6"/>
  <c r="C15" i="6"/>
  <c r="C16" i="6"/>
  <c r="C17" i="6"/>
  <c r="C18" i="6"/>
  <c r="C19" i="6"/>
  <c r="C20" i="6"/>
  <c r="C21" i="6"/>
  <c r="C22" i="6"/>
  <c r="C23" i="6"/>
  <c r="C24" i="6"/>
  <c r="G10" i="4"/>
  <c r="E7" i="4"/>
  <c r="F5" i="4"/>
  <c r="F2" i="4"/>
  <c r="B10" i="4"/>
  <c r="B9" i="4"/>
  <c r="B8" i="4"/>
  <c r="B7" i="4"/>
  <c r="B5" i="4"/>
  <c r="F38" i="4" s="1"/>
  <c r="B4" i="4"/>
  <c r="B3" i="4"/>
  <c r="B2" i="4"/>
  <c r="J14" i="10"/>
  <c r="C15" i="10"/>
  <c r="C16" i="10"/>
  <c r="C17" i="10"/>
  <c r="C18" i="10"/>
  <c r="C19" i="10"/>
  <c r="C20" i="10"/>
  <c r="C21" i="10"/>
  <c r="C22" i="10"/>
  <c r="C23" i="10"/>
  <c r="C24" i="10"/>
  <c r="C13" i="10"/>
  <c r="J13" i="10" s="1"/>
  <c r="B10" i="10"/>
  <c r="B9" i="10"/>
  <c r="B8" i="10"/>
  <c r="B7" i="10"/>
  <c r="F5" i="10"/>
  <c r="B5" i="10"/>
  <c r="F26" i="10" s="1"/>
  <c r="F2" i="10"/>
  <c r="B2" i="10"/>
  <c r="B10" i="7"/>
  <c r="B10" i="2"/>
  <c r="G10" i="2"/>
  <c r="G10" i="7"/>
  <c r="B8" i="7"/>
  <c r="E7" i="7"/>
  <c r="E5" i="7"/>
  <c r="B4" i="7"/>
  <c r="D4" i="7" s="1"/>
  <c r="B5" i="7"/>
  <c r="F26" i="7" s="1"/>
  <c r="B7" i="7"/>
  <c r="B9" i="7"/>
  <c r="F2" i="7"/>
  <c r="B2" i="7"/>
  <c r="C13" i="7"/>
  <c r="K13" i="7" s="1"/>
  <c r="C14" i="7"/>
  <c r="C15" i="7"/>
  <c r="C16" i="7"/>
  <c r="C17" i="7"/>
  <c r="C18" i="7"/>
  <c r="C19" i="7"/>
  <c r="C20" i="7"/>
  <c r="C21" i="7"/>
  <c r="C22" i="7"/>
  <c r="C23" i="7"/>
  <c r="C24" i="7"/>
  <c r="E5" i="2"/>
  <c r="B4" i="2"/>
  <c r="C6" i="2" s="1"/>
  <c r="B5" i="2"/>
  <c r="F38" i="2" s="1"/>
  <c r="B7" i="2"/>
  <c r="E7" i="2"/>
  <c r="F2" i="2"/>
  <c r="G10" i="12"/>
  <c r="B10" i="12"/>
  <c r="B9" i="12"/>
  <c r="B8" i="12"/>
  <c r="D5" i="12"/>
  <c r="B5" i="12"/>
  <c r="F38" i="12" s="1"/>
  <c r="E2" i="12"/>
  <c r="B4" i="12"/>
  <c r="B2" i="12"/>
  <c r="G10" i="11"/>
  <c r="E7" i="11"/>
  <c r="E5" i="11"/>
  <c r="B10" i="11"/>
  <c r="B9" i="11"/>
  <c r="B8" i="11"/>
  <c r="B7" i="11"/>
  <c r="B5" i="11"/>
  <c r="F38" i="11" s="1"/>
  <c r="B4" i="11"/>
  <c r="B3" i="11"/>
  <c r="F2" i="11"/>
  <c r="B2" i="11"/>
  <c r="G10" i="5"/>
  <c r="B9" i="5"/>
  <c r="F5" i="5"/>
  <c r="B5" i="5"/>
  <c r="B4" i="5"/>
  <c r="C6" i="5" s="1"/>
  <c r="B3" i="5"/>
  <c r="F2" i="5"/>
  <c r="B2" i="5"/>
  <c r="B2" i="2"/>
  <c r="K24" i="7" l="1"/>
  <c r="K21" i="10"/>
  <c r="I21" i="10"/>
  <c r="J21" i="10"/>
  <c r="K17" i="10"/>
  <c r="I17" i="10"/>
  <c r="J17" i="10"/>
  <c r="J24" i="10"/>
  <c r="K24" i="10"/>
  <c r="I24" i="10"/>
  <c r="J20" i="10"/>
  <c r="K20" i="10"/>
  <c r="I20" i="10"/>
  <c r="J16" i="10"/>
  <c r="K16" i="10"/>
  <c r="I16" i="10"/>
  <c r="I22" i="10"/>
  <c r="J22" i="10"/>
  <c r="K22" i="10"/>
  <c r="I18" i="10"/>
  <c r="J18" i="10"/>
  <c r="K18" i="10"/>
  <c r="I23" i="10"/>
  <c r="J23" i="10"/>
  <c r="K23" i="10"/>
  <c r="I19" i="10"/>
  <c r="J19" i="10"/>
  <c r="K19" i="10"/>
  <c r="I15" i="10"/>
  <c r="J15" i="10"/>
  <c r="K15" i="10"/>
  <c r="F38" i="5"/>
  <c r="I23" i="7"/>
  <c r="I21" i="7"/>
  <c r="I18" i="7"/>
  <c r="K19" i="7"/>
  <c r="I24" i="7"/>
  <c r="I16" i="7"/>
  <c r="I19" i="7"/>
  <c r="I22" i="7"/>
  <c r="I20" i="7"/>
  <c r="I17" i="7"/>
  <c r="K18" i="7"/>
  <c r="I15" i="7"/>
  <c r="K22" i="7"/>
  <c r="I22" i="6"/>
  <c r="K22" i="6"/>
  <c r="I20" i="6"/>
  <c r="K20" i="6"/>
  <c r="I18" i="6"/>
  <c r="K18" i="6"/>
  <c r="I16" i="6"/>
  <c r="K16" i="6"/>
  <c r="K23" i="7"/>
  <c r="K15" i="7"/>
  <c r="I24" i="6"/>
  <c r="K24" i="6"/>
  <c r="B25" i="6"/>
  <c r="I23" i="6"/>
  <c r="K23" i="6"/>
  <c r="K21" i="6"/>
  <c r="I21" i="6"/>
  <c r="I19" i="6"/>
  <c r="K19" i="6"/>
  <c r="K17" i="6"/>
  <c r="I17" i="6"/>
  <c r="K15" i="6"/>
  <c r="I15" i="6"/>
  <c r="I14" i="7"/>
  <c r="K14" i="10"/>
  <c r="I13" i="10"/>
  <c r="K13" i="10"/>
  <c r="B3" i="7"/>
  <c r="G9" i="7"/>
  <c r="I9" i="7"/>
  <c r="I9" i="4"/>
  <c r="D4" i="4"/>
  <c r="G9" i="4"/>
  <c r="C6" i="4"/>
  <c r="B3" i="2"/>
  <c r="G9" i="2"/>
  <c r="I9" i="2"/>
  <c r="D4" i="2"/>
  <c r="G9" i="6"/>
  <c r="I9" i="6"/>
  <c r="I9" i="12"/>
  <c r="G9" i="12"/>
  <c r="C6" i="12"/>
  <c r="C4" i="12"/>
  <c r="E11" i="12" s="1"/>
  <c r="G9" i="5"/>
  <c r="D4" i="5"/>
  <c r="I9" i="5"/>
  <c r="I9" i="11"/>
  <c r="D4" i="11"/>
  <c r="E11" i="11" s="1"/>
  <c r="G9" i="11"/>
  <c r="C6" i="11"/>
  <c r="K14" i="6"/>
  <c r="I14" i="6"/>
  <c r="I13" i="6"/>
  <c r="K13" i="6"/>
  <c r="C4" i="2"/>
  <c r="D11" i="2" s="1"/>
  <c r="K14" i="7"/>
  <c r="K20" i="7"/>
  <c r="K16" i="7"/>
  <c r="K21" i="7"/>
  <c r="K17" i="7"/>
  <c r="B25" i="7"/>
  <c r="I14" i="10"/>
  <c r="I13" i="7"/>
  <c r="C4" i="6"/>
  <c r="B3" i="6"/>
  <c r="C4" i="7"/>
  <c r="B25" i="10"/>
</calcChain>
</file>

<file path=xl/sharedStrings.xml><?xml version="1.0" encoding="utf-8"?>
<sst xmlns="http://schemas.openxmlformats.org/spreadsheetml/2006/main" count="1925" uniqueCount="692">
  <si>
    <t>VES02</t>
  </si>
  <si>
    <t>行先</t>
    <rPh sb="0" eb="2">
      <t>イキサキ</t>
    </rPh>
    <phoneticPr fontId="1"/>
  </si>
  <si>
    <t>発送日</t>
    <rPh sb="0" eb="2">
      <t>ハッソウ</t>
    </rPh>
    <rPh sb="2" eb="3">
      <t>ビ</t>
    </rPh>
    <phoneticPr fontId="1"/>
  </si>
  <si>
    <t>受注番号</t>
    <rPh sb="0" eb="2">
      <t>ジュチュウ</t>
    </rPh>
    <rPh sb="2" eb="4">
      <t>バンゴウ</t>
    </rPh>
    <phoneticPr fontId="1"/>
  </si>
  <si>
    <t>受注日</t>
    <rPh sb="0" eb="2">
      <t>ジュチュウ</t>
    </rPh>
    <rPh sb="2" eb="3">
      <t>ビ</t>
    </rPh>
    <phoneticPr fontId="1"/>
  </si>
  <si>
    <t>注文番号</t>
    <rPh sb="0" eb="2">
      <t>チュウモン</t>
    </rPh>
    <rPh sb="2" eb="4">
      <t>バンゴウ</t>
    </rPh>
    <phoneticPr fontId="1"/>
  </si>
  <si>
    <t>品名</t>
    <rPh sb="0" eb="2">
      <t>ヒンメイ</t>
    </rPh>
    <phoneticPr fontId="1"/>
  </si>
  <si>
    <t>数量</t>
    <rPh sb="0" eb="2">
      <t>スウリョウ</t>
    </rPh>
    <phoneticPr fontId="1"/>
  </si>
  <si>
    <t>納入先名</t>
    <rPh sb="0" eb="2">
      <t>ノウニュウ</t>
    </rPh>
    <rPh sb="2" eb="3">
      <t>サキ</t>
    </rPh>
    <rPh sb="3" eb="4">
      <t>メイ</t>
    </rPh>
    <phoneticPr fontId="1"/>
  </si>
  <si>
    <t>納入先住所</t>
    <rPh sb="0" eb="2">
      <t>ノウニュウ</t>
    </rPh>
    <rPh sb="2" eb="3">
      <t>サキ</t>
    </rPh>
    <rPh sb="3" eb="5">
      <t>ジュウショ</t>
    </rPh>
    <phoneticPr fontId="1"/>
  </si>
  <si>
    <t>LOT番号</t>
    <rPh sb="3" eb="5">
      <t>バンゴウ</t>
    </rPh>
    <phoneticPr fontId="1"/>
  </si>
  <si>
    <t>KEL01</t>
  </si>
  <si>
    <t>TAD02</t>
  </si>
  <si>
    <t>PHT01</t>
  </si>
  <si>
    <t>TAD03</t>
  </si>
  <si>
    <t>TAD01</t>
  </si>
  <si>
    <t>FUD01</t>
  </si>
  <si>
    <t>福州大億</t>
    <rPh sb="0" eb="2">
      <t>フクシュウ</t>
    </rPh>
    <rPh sb="2" eb="3">
      <t>ダイ</t>
    </rPh>
    <rPh sb="3" eb="4">
      <t>オク</t>
    </rPh>
    <phoneticPr fontId="1"/>
  </si>
  <si>
    <t>FUD02</t>
  </si>
  <si>
    <t>IDK01</t>
  </si>
  <si>
    <t>IDK02</t>
  </si>
  <si>
    <t>KOH01</t>
  </si>
  <si>
    <t>KOK01</t>
  </si>
  <si>
    <t>SAH01</t>
  </si>
  <si>
    <t>SAH02</t>
  </si>
  <si>
    <t>SHK01</t>
  </si>
  <si>
    <t>SHK02</t>
  </si>
  <si>
    <t>TAD04</t>
  </si>
  <si>
    <t>THK01</t>
  </si>
  <si>
    <t>THK02</t>
  </si>
  <si>
    <t>THS01</t>
  </si>
  <si>
    <t>THS02</t>
  </si>
  <si>
    <t>UKK01</t>
  </si>
  <si>
    <t>UKK02</t>
  </si>
  <si>
    <t>ALS01</t>
  </si>
  <si>
    <t>KOS01</t>
  </si>
  <si>
    <t>KOS02</t>
  </si>
  <si>
    <t>KOS03</t>
  </si>
  <si>
    <t>KOS04</t>
  </si>
  <si>
    <t>KOS05</t>
  </si>
  <si>
    <t>GZS01</t>
  </si>
  <si>
    <t>GZS02</t>
  </si>
  <si>
    <t>HAS01</t>
  </si>
  <si>
    <t>HAS02</t>
  </si>
  <si>
    <t>HAS03</t>
  </si>
  <si>
    <t>INI01</t>
  </si>
  <si>
    <t>INS01</t>
  </si>
  <si>
    <t>INS02</t>
  </si>
  <si>
    <t>JUS01</t>
  </si>
  <si>
    <t>MAE01</t>
  </si>
  <si>
    <t>MAE02</t>
  </si>
  <si>
    <t>MAI01</t>
  </si>
  <si>
    <t>TES01</t>
  </si>
  <si>
    <t>TES02</t>
  </si>
  <si>
    <t>TES03</t>
  </si>
  <si>
    <t>VES01</t>
  </si>
  <si>
    <t>VES03</t>
  </si>
  <si>
    <t>USS01</t>
  </si>
  <si>
    <t>納期</t>
    <rPh sb="0" eb="2">
      <t>ノウキ</t>
    </rPh>
    <phoneticPr fontId="1"/>
  </si>
  <si>
    <t>扱い</t>
    <rPh sb="0" eb="1">
      <t>アツカ</t>
    </rPh>
    <phoneticPr fontId="1"/>
  </si>
  <si>
    <t>特記事項</t>
    <rPh sb="0" eb="2">
      <t>トッキ</t>
    </rPh>
    <rPh sb="2" eb="4">
      <t>ジコウ</t>
    </rPh>
    <phoneticPr fontId="1"/>
  </si>
  <si>
    <t>無</t>
    <rPh sb="0" eb="1">
      <t>ナ</t>
    </rPh>
    <phoneticPr fontId="1"/>
  </si>
  <si>
    <t>担当</t>
    <rPh sb="0" eb="2">
      <t>タントウ</t>
    </rPh>
    <phoneticPr fontId="1"/>
  </si>
  <si>
    <t>承認</t>
    <rPh sb="0" eb="2">
      <t>ショウニン</t>
    </rPh>
    <phoneticPr fontId="1"/>
  </si>
  <si>
    <t>合計缶数</t>
    <rPh sb="0" eb="2">
      <t>ゴウケイ</t>
    </rPh>
    <rPh sb="2" eb="3">
      <t>カン</t>
    </rPh>
    <rPh sb="3" eb="4">
      <t>スウ</t>
    </rPh>
    <phoneticPr fontId="1"/>
  </si>
  <si>
    <t>TEL</t>
    <phoneticPr fontId="1"/>
  </si>
  <si>
    <t>運送便</t>
    <rPh sb="0" eb="2">
      <t>ウンソウ</t>
    </rPh>
    <rPh sb="2" eb="3">
      <t>ビン</t>
    </rPh>
    <phoneticPr fontId="1"/>
  </si>
  <si>
    <t>出荷明細書</t>
    <rPh sb="0" eb="2">
      <t>シュッカ</t>
    </rPh>
    <rPh sb="2" eb="4">
      <t>メイサイ</t>
    </rPh>
    <rPh sb="4" eb="5">
      <t>ショ</t>
    </rPh>
    <phoneticPr fontId="1"/>
  </si>
  <si>
    <t>無し</t>
    <rPh sb="0" eb="1">
      <t>ナ</t>
    </rPh>
    <phoneticPr fontId="1"/>
  </si>
  <si>
    <t>ケースマーク　容量　有効期限</t>
    <rPh sb="7" eb="9">
      <t>ヨウリョウ</t>
    </rPh>
    <rPh sb="10" eb="12">
      <t>ユウコウ</t>
    </rPh>
    <rPh sb="12" eb="14">
      <t>キゲン</t>
    </rPh>
    <phoneticPr fontId="1"/>
  </si>
  <si>
    <t>ケースマーク　有効期限</t>
    <rPh sb="7" eb="9">
      <t>ユウコウ</t>
    </rPh>
    <rPh sb="9" eb="11">
      <t>キゲン</t>
    </rPh>
    <phoneticPr fontId="1"/>
  </si>
  <si>
    <t>ケースマーク　セニー扱い/１パレ　UN1263/指定パレ　OVER PACK/指定パレ</t>
    <rPh sb="10" eb="11">
      <t>アツカ</t>
    </rPh>
    <rPh sb="24" eb="26">
      <t>シテイ</t>
    </rPh>
    <rPh sb="39" eb="41">
      <t>シテイ</t>
    </rPh>
    <phoneticPr fontId="1"/>
  </si>
  <si>
    <t>有効期限</t>
    <rPh sb="0" eb="2">
      <t>ユウコウ</t>
    </rPh>
    <rPh sb="2" eb="4">
      <t>キゲン</t>
    </rPh>
    <phoneticPr fontId="1"/>
  </si>
  <si>
    <t>0569-38-8120</t>
    <phoneticPr fontId="1"/>
  </si>
  <si>
    <t>伊坂・台湾大億</t>
    <rPh sb="0" eb="2">
      <t>イサカ</t>
    </rPh>
    <rPh sb="3" eb="5">
      <t>タイワン</t>
    </rPh>
    <rPh sb="5" eb="6">
      <t>ダイ</t>
    </rPh>
    <rPh sb="6" eb="7">
      <t>オク</t>
    </rPh>
    <phoneticPr fontId="1"/>
  </si>
  <si>
    <t>長城通商・台湾大億</t>
    <rPh sb="0" eb="2">
      <t>チョウジョウ</t>
    </rPh>
    <rPh sb="2" eb="4">
      <t>ツウショウ</t>
    </rPh>
    <rPh sb="5" eb="7">
      <t>タイワン</t>
    </rPh>
    <rPh sb="7" eb="8">
      <t>ダイ</t>
    </rPh>
    <rPh sb="8" eb="9">
      <t>オク</t>
    </rPh>
    <phoneticPr fontId="1"/>
  </si>
  <si>
    <t>韓国現代モービス</t>
    <rPh sb="0" eb="2">
      <t>カンコク</t>
    </rPh>
    <rPh sb="2" eb="4">
      <t>ゲンダイ</t>
    </rPh>
    <phoneticPr fontId="1"/>
  </si>
  <si>
    <t>韓国IHL</t>
    <rPh sb="0" eb="2">
      <t>カンコク</t>
    </rPh>
    <phoneticPr fontId="1"/>
  </si>
  <si>
    <t>水野</t>
    <rPh sb="0" eb="2">
      <t>ミズノ</t>
    </rPh>
    <phoneticPr fontId="1"/>
  </si>
  <si>
    <t>アラバマ三立</t>
    <rPh sb="4" eb="5">
      <t>サン</t>
    </rPh>
    <rPh sb="5" eb="6">
      <t>リツ</t>
    </rPh>
    <phoneticPr fontId="1"/>
  </si>
  <si>
    <t>オーダーNoと「長瀬産業/EXGO」</t>
    <rPh sb="8" eb="10">
      <t>ナガセ</t>
    </rPh>
    <rPh sb="10" eb="12">
      <t>サンギョウ</t>
    </rPh>
    <phoneticPr fontId="1"/>
  </si>
  <si>
    <t>KBKプラ部依頼分　矢吹様扱い</t>
    <rPh sb="5" eb="6">
      <t>ブ</t>
    </rPh>
    <rPh sb="6" eb="8">
      <t>イライ</t>
    </rPh>
    <rPh sb="8" eb="9">
      <t>ブン</t>
    </rPh>
    <rPh sb="10" eb="12">
      <t>ヤブキ</t>
    </rPh>
    <rPh sb="12" eb="13">
      <t>サマ</t>
    </rPh>
    <rPh sb="13" eb="14">
      <t>アツカ</t>
    </rPh>
    <phoneticPr fontId="1"/>
  </si>
  <si>
    <t>伊坂・台湾大億(長城扱い）</t>
    <rPh sb="0" eb="2">
      <t>イサカ</t>
    </rPh>
    <rPh sb="3" eb="5">
      <t>タイワン</t>
    </rPh>
    <rPh sb="5" eb="6">
      <t>ダイ</t>
    </rPh>
    <rPh sb="6" eb="7">
      <t>オク</t>
    </rPh>
    <rPh sb="8" eb="10">
      <t>チョウジョウ</t>
    </rPh>
    <rPh sb="10" eb="11">
      <t>アツカ</t>
    </rPh>
    <phoneticPr fontId="1"/>
  </si>
  <si>
    <t>韓国 ルミナス</t>
    <rPh sb="0" eb="2">
      <t>カンコク</t>
    </rPh>
    <phoneticPr fontId="1"/>
  </si>
  <si>
    <t>DEPO  昆山</t>
    <rPh sb="6" eb="7">
      <t>コン</t>
    </rPh>
    <rPh sb="7" eb="8">
      <t>サン</t>
    </rPh>
    <phoneticPr fontId="1"/>
  </si>
  <si>
    <t>包装Ｇ　笹子様　大河原様宛</t>
    <rPh sb="0" eb="2">
      <t>ホウソウ</t>
    </rPh>
    <rPh sb="4" eb="6">
      <t>ササコ</t>
    </rPh>
    <rPh sb="6" eb="7">
      <t>サマ</t>
    </rPh>
    <rPh sb="8" eb="11">
      <t>オオガワラ</t>
    </rPh>
    <rPh sb="11" eb="12">
      <t>サマ</t>
    </rPh>
    <rPh sb="12" eb="13">
      <t>アテ</t>
    </rPh>
    <phoneticPr fontId="1"/>
  </si>
  <si>
    <t>中国　BEIJINN SAMLIP</t>
    <rPh sb="0" eb="2">
      <t>チュウゴク</t>
    </rPh>
    <phoneticPr fontId="1"/>
  </si>
  <si>
    <t>デリバリーインターナショナル・トラスインテル扱い</t>
    <rPh sb="22" eb="23">
      <t>アツカ</t>
    </rPh>
    <phoneticPr fontId="1"/>
  </si>
  <si>
    <t>DEPO  昆山  中国</t>
    <rPh sb="6" eb="7">
      <t>コン</t>
    </rPh>
    <rPh sb="7" eb="8">
      <t>サン</t>
    </rPh>
    <rPh sb="10" eb="12">
      <t>チュウゴク</t>
    </rPh>
    <phoneticPr fontId="1"/>
  </si>
  <si>
    <t>海洋汚染シール  UN№  　パッキングシール</t>
    <rPh sb="0" eb="2">
      <t>カイヨウ</t>
    </rPh>
    <rPh sb="2" eb="4">
      <t>オセン</t>
    </rPh>
    <phoneticPr fontId="1"/>
  </si>
  <si>
    <t>0567-68-6711</t>
    <phoneticPr fontId="1"/>
  </si>
  <si>
    <t>豊通ケミプラス㈱西島様扱い</t>
    <rPh sb="0" eb="2">
      <t>トヨミチ</t>
    </rPh>
    <rPh sb="8" eb="11">
      <t>ニシジマサマ</t>
    </rPh>
    <rPh sb="11" eb="12">
      <t>アツカ</t>
    </rPh>
    <phoneticPr fontId="1"/>
  </si>
  <si>
    <t>海洋汚染シール  UN№  　パッキングシール  　指定パレット</t>
    <rPh sb="0" eb="2">
      <t>カイヨウ</t>
    </rPh>
    <rPh sb="2" eb="4">
      <t>オセン</t>
    </rPh>
    <rPh sb="26" eb="28">
      <t>シテイ</t>
    </rPh>
    <phoneticPr fontId="1"/>
  </si>
  <si>
    <t>0068</t>
    <phoneticPr fontId="1"/>
  </si>
  <si>
    <t>0881</t>
    <phoneticPr fontId="1"/>
  </si>
  <si>
    <t>豊通ケミプラス㈱西島様扱い</t>
    <rPh sb="0" eb="2">
      <t>トヨミチ</t>
    </rPh>
    <rPh sb="8" eb="10">
      <t>ニシジマ</t>
    </rPh>
    <rPh sb="10" eb="11">
      <t>サマ</t>
    </rPh>
    <rPh sb="11" eb="12">
      <t>アツカ</t>
    </rPh>
    <phoneticPr fontId="1"/>
  </si>
  <si>
    <t>豊通ケミプラス㈱　西島様扱い</t>
    <rPh sb="0" eb="1">
      <t>トヨ</t>
    </rPh>
    <rPh sb="1" eb="2">
      <t>ツウ</t>
    </rPh>
    <rPh sb="9" eb="11">
      <t>ニシジマ</t>
    </rPh>
    <rPh sb="11" eb="12">
      <t>サマ</t>
    </rPh>
    <rPh sb="12" eb="13">
      <t>アツカ</t>
    </rPh>
    <phoneticPr fontId="1"/>
  </si>
  <si>
    <t>豊田通商・台湾/大億交通</t>
    <rPh sb="0" eb="2">
      <t>トヨタ</t>
    </rPh>
    <rPh sb="2" eb="4">
      <t>ツウショウ</t>
    </rPh>
    <rPh sb="5" eb="7">
      <t>タイワン</t>
    </rPh>
    <rPh sb="8" eb="9">
      <t>ダイ</t>
    </rPh>
    <rPh sb="9" eb="10">
      <t>オク</t>
    </rPh>
    <rPh sb="10" eb="12">
      <t>コウツウ</t>
    </rPh>
    <phoneticPr fontId="1"/>
  </si>
  <si>
    <t>韓国(SL CORP)</t>
    <rPh sb="0" eb="2">
      <t>カンコク</t>
    </rPh>
    <phoneticPr fontId="1"/>
  </si>
  <si>
    <t>INS11</t>
    <phoneticPr fontId="1"/>
  </si>
  <si>
    <t>豊通ケミプラス㈱西島様扱い</t>
    <rPh sb="0" eb="1">
      <t>トヨ</t>
    </rPh>
    <rPh sb="1" eb="2">
      <t>ツウ</t>
    </rPh>
    <rPh sb="8" eb="10">
      <t>ニシジマ</t>
    </rPh>
    <rPh sb="10" eb="11">
      <t>サマ</t>
    </rPh>
    <rPh sb="11" eb="12">
      <t>アツカ</t>
    </rPh>
    <phoneticPr fontId="1"/>
  </si>
  <si>
    <t>タミヤ様分</t>
    <rPh sb="3" eb="4">
      <t>サマ</t>
    </rPh>
    <rPh sb="4" eb="5">
      <t>ブン</t>
    </rPh>
    <phoneticPr fontId="1"/>
  </si>
  <si>
    <t>GZS03</t>
  </si>
  <si>
    <t>GZS04</t>
  </si>
  <si>
    <t>GZS05</t>
  </si>
  <si>
    <t>INS04</t>
  </si>
  <si>
    <t>JUS03</t>
  </si>
  <si>
    <t>TES04</t>
  </si>
  <si>
    <t>VES04</t>
  </si>
  <si>
    <t>KOS06</t>
  </si>
  <si>
    <t>KOS07</t>
  </si>
  <si>
    <t>USS02</t>
  </si>
  <si>
    <t>*指定ﾊﾟﾚｯﾄ使用</t>
    <rPh sb="1" eb="3">
      <t>シテイ</t>
    </rPh>
    <rPh sb="8" eb="10">
      <t>シヨウ</t>
    </rPh>
    <phoneticPr fontId="1"/>
  </si>
  <si>
    <t>豊通ケミプラス㈱西島様扱い　　TAS営業担当：森永様</t>
    <rPh sb="0" eb="2">
      <t>トヨミチ</t>
    </rPh>
    <rPh sb="8" eb="11">
      <t>ニシジマサマ</t>
    </rPh>
    <rPh sb="11" eb="12">
      <t>アツカ</t>
    </rPh>
    <rPh sb="18" eb="20">
      <t>エイギョウ</t>
    </rPh>
    <rPh sb="20" eb="22">
      <t>タントウ</t>
    </rPh>
    <rPh sb="23" eb="25">
      <t>モリナガ</t>
    </rPh>
    <rPh sb="25" eb="26">
      <t>サマ</t>
    </rPh>
    <phoneticPr fontId="1"/>
  </si>
  <si>
    <t>市光マレーシア</t>
    <rPh sb="0" eb="1">
      <t>イチ</t>
    </rPh>
    <rPh sb="1" eb="2">
      <t>コウ</t>
    </rPh>
    <phoneticPr fontId="1"/>
  </si>
  <si>
    <t>列を増やした場合は、合計缶数を再計算する</t>
    <rPh sb="0" eb="1">
      <t>レツ</t>
    </rPh>
    <rPh sb="2" eb="3">
      <t>フ</t>
    </rPh>
    <rPh sb="6" eb="8">
      <t>バアイ</t>
    </rPh>
    <rPh sb="10" eb="12">
      <t>ゴウケイ</t>
    </rPh>
    <rPh sb="12" eb="13">
      <t>カン</t>
    </rPh>
    <rPh sb="13" eb="14">
      <t>スウ</t>
    </rPh>
    <rPh sb="15" eb="18">
      <t>サイケイサン</t>
    </rPh>
    <phoneticPr fontId="1"/>
  </si>
  <si>
    <t>出荷明細書</t>
  </si>
  <si>
    <t>受注日</t>
  </si>
  <si>
    <t>受注番号</t>
  </si>
  <si>
    <t>担当</t>
  </si>
  <si>
    <t>承認</t>
  </si>
  <si>
    <t>行先</t>
  </si>
  <si>
    <t>発送日</t>
  </si>
  <si>
    <t>納期</t>
  </si>
  <si>
    <t>特記事項</t>
  </si>
  <si>
    <t>注文番号</t>
  </si>
  <si>
    <t>扱い</t>
  </si>
  <si>
    <t>納入先名</t>
  </si>
  <si>
    <t>納入先住所</t>
  </si>
  <si>
    <t>〒</t>
  </si>
  <si>
    <t>－</t>
  </si>
  <si>
    <t>TEL</t>
  </si>
  <si>
    <t>品名</t>
  </si>
  <si>
    <t>数量</t>
  </si>
  <si>
    <t>LOT番号</t>
  </si>
  <si>
    <t>合計缶数</t>
  </si>
  <si>
    <t>運送便</t>
  </si>
  <si>
    <t>〒</t>
    <phoneticPr fontId="1"/>
  </si>
  <si>
    <t>－</t>
    <phoneticPr fontId="1"/>
  </si>
  <si>
    <t>TEL</t>
    <phoneticPr fontId="1"/>
  </si>
  <si>
    <t>～</t>
    <phoneticPr fontId="1"/>
  </si>
  <si>
    <t>〒</t>
    <phoneticPr fontId="1"/>
  </si>
  <si>
    <t>－</t>
    <phoneticPr fontId="1"/>
  </si>
  <si>
    <t>TEL</t>
    <phoneticPr fontId="1"/>
  </si>
  <si>
    <t>ＧＨＳラベル・有効期限</t>
    <rPh sb="7" eb="9">
      <t>ユウコウ</t>
    </rPh>
    <rPh sb="9" eb="11">
      <t>キゲン</t>
    </rPh>
    <phoneticPr fontId="1"/>
  </si>
  <si>
    <t>054-643-6400</t>
    <phoneticPr fontId="1"/>
  </si>
  <si>
    <t>名港海運㈱西２区</t>
    <rPh sb="0" eb="2">
      <t>メイコウ</t>
    </rPh>
    <rPh sb="2" eb="4">
      <t>カイウン</t>
    </rPh>
    <rPh sb="5" eb="6">
      <t>ニシ</t>
    </rPh>
    <rPh sb="7" eb="8">
      <t>ク</t>
    </rPh>
    <phoneticPr fontId="1"/>
  </si>
  <si>
    <t>05675-5-1522</t>
    <phoneticPr fontId="1"/>
  </si>
  <si>
    <t>0569-38-8120</t>
    <phoneticPr fontId="1"/>
  </si>
  <si>
    <t>0881</t>
    <phoneticPr fontId="1"/>
  </si>
  <si>
    <t>GZK01</t>
    <phoneticPr fontId="1"/>
  </si>
  <si>
    <t>広州小糸？</t>
    <rPh sb="0" eb="2">
      <t>コウシュウ</t>
    </rPh>
    <rPh sb="2" eb="4">
      <t>コイト</t>
    </rPh>
    <phoneticPr fontId="1"/>
  </si>
  <si>
    <t>0567-69-2088</t>
    <phoneticPr fontId="1"/>
  </si>
  <si>
    <t>0068</t>
    <phoneticPr fontId="1"/>
  </si>
  <si>
    <t>GZK02</t>
    <phoneticPr fontId="1"/>
  </si>
  <si>
    <t>商船三井㈱中部国際空港</t>
    <rPh sb="0" eb="2">
      <t>ショウセン</t>
    </rPh>
    <rPh sb="2" eb="4">
      <t>ミツイ</t>
    </rPh>
    <rPh sb="5" eb="7">
      <t>チュウブ</t>
    </rPh>
    <rPh sb="7" eb="9">
      <t>コクサイ</t>
    </rPh>
    <rPh sb="9" eb="11">
      <t>クウコウ</t>
    </rPh>
    <phoneticPr fontId="1"/>
  </si>
  <si>
    <t>GZK03</t>
    <phoneticPr fontId="1"/>
  </si>
  <si>
    <t>安達包運㈱</t>
    <rPh sb="0" eb="2">
      <t>アダチ</t>
    </rPh>
    <rPh sb="2" eb="3">
      <t>ホウ</t>
    </rPh>
    <rPh sb="3" eb="4">
      <t>ウン</t>
    </rPh>
    <phoneticPr fontId="1"/>
  </si>
  <si>
    <t>0567-68-6711</t>
    <phoneticPr fontId="1"/>
  </si>
  <si>
    <t>GZK04</t>
    <phoneticPr fontId="1"/>
  </si>
  <si>
    <t>商船三井㈱成田</t>
    <rPh sb="0" eb="2">
      <t>ショウセン</t>
    </rPh>
    <rPh sb="2" eb="4">
      <t>ミツイ</t>
    </rPh>
    <rPh sb="5" eb="7">
      <t>ナリタ</t>
    </rPh>
    <phoneticPr fontId="1"/>
  </si>
  <si>
    <t>0476-35-6183</t>
    <phoneticPr fontId="1"/>
  </si>
  <si>
    <t>0013</t>
    <phoneticPr fontId="1"/>
  </si>
  <si>
    <t>GZK05</t>
  </si>
  <si>
    <t>安達包運㈱名港西２区</t>
    <rPh sb="0" eb="2">
      <t>アダチ</t>
    </rPh>
    <rPh sb="2" eb="3">
      <t>ホウ</t>
    </rPh>
    <rPh sb="3" eb="4">
      <t>ウン</t>
    </rPh>
    <rPh sb="5" eb="7">
      <t>メイコウ</t>
    </rPh>
    <rPh sb="7" eb="8">
      <t>ニシ</t>
    </rPh>
    <rPh sb="9" eb="10">
      <t>ク</t>
    </rPh>
    <phoneticPr fontId="1"/>
  </si>
  <si>
    <t>0567-55-2633</t>
    <phoneticPr fontId="1"/>
  </si>
  <si>
    <t>IDK03</t>
    <phoneticPr fontId="1"/>
  </si>
  <si>
    <t>0113</t>
    <phoneticPr fontId="1"/>
  </si>
  <si>
    <t>IDK04</t>
    <phoneticPr fontId="1"/>
  </si>
  <si>
    <t>名港海運㈱弥富</t>
    <rPh sb="0" eb="2">
      <t>メイコウ</t>
    </rPh>
    <rPh sb="2" eb="4">
      <t>カイウン</t>
    </rPh>
    <rPh sb="5" eb="6">
      <t>ヤ</t>
    </rPh>
    <rPh sb="6" eb="7">
      <t>トミ</t>
    </rPh>
    <phoneticPr fontId="1"/>
  </si>
  <si>
    <t>INA01</t>
    <phoneticPr fontId="1"/>
  </si>
  <si>
    <t>INA02</t>
    <phoneticPr fontId="1"/>
  </si>
  <si>
    <t>INA03</t>
  </si>
  <si>
    <t>安達包運倉庫㈱名港西２区</t>
    <rPh sb="0" eb="2">
      <t>アダチ</t>
    </rPh>
    <rPh sb="2" eb="3">
      <t>ホウ</t>
    </rPh>
    <rPh sb="3" eb="4">
      <t>ウン</t>
    </rPh>
    <rPh sb="4" eb="6">
      <t>ソウコ</t>
    </rPh>
    <rPh sb="7" eb="9">
      <t>メイコウ</t>
    </rPh>
    <rPh sb="9" eb="10">
      <t>ニシ</t>
    </rPh>
    <rPh sb="11" eb="12">
      <t>ク</t>
    </rPh>
    <phoneticPr fontId="1"/>
  </si>
  <si>
    <t xml:space="preserve">豊通ケミプラス㈱西島様扱い </t>
    <rPh sb="0" eb="2">
      <t>トヨミチ</t>
    </rPh>
    <rPh sb="8" eb="11">
      <t>ニシジマサマ</t>
    </rPh>
    <rPh sb="11" eb="12">
      <t>アツカ</t>
    </rPh>
    <phoneticPr fontId="1"/>
  </si>
  <si>
    <t>INK01</t>
    <phoneticPr fontId="1"/>
  </si>
  <si>
    <t>INK02</t>
    <phoneticPr fontId="1"/>
  </si>
  <si>
    <t>INK03</t>
    <phoneticPr fontId="1"/>
  </si>
  <si>
    <t>INK04</t>
    <phoneticPr fontId="1"/>
  </si>
  <si>
    <t>INK05</t>
    <phoneticPr fontId="1"/>
  </si>
  <si>
    <t>INK06</t>
  </si>
  <si>
    <t>INN01</t>
    <phoneticPr fontId="1"/>
  </si>
  <si>
    <t>INN02</t>
    <phoneticPr fontId="1"/>
  </si>
  <si>
    <t>INN11</t>
    <phoneticPr fontId="1"/>
  </si>
  <si>
    <t>㈱築港　横浜</t>
    <rPh sb="1" eb="2">
      <t>チク</t>
    </rPh>
    <rPh sb="2" eb="3">
      <t>コウ</t>
    </rPh>
    <rPh sb="4" eb="6">
      <t>ヨコハマ</t>
    </rPh>
    <phoneticPr fontId="1"/>
  </si>
  <si>
    <t>045-502-1867</t>
    <phoneticPr fontId="1"/>
  </si>
  <si>
    <t>0053</t>
    <phoneticPr fontId="1"/>
  </si>
  <si>
    <t>INN12</t>
    <phoneticPr fontId="1"/>
  </si>
  <si>
    <t>日通㈱成田ｻﾃﾗｲﾄ</t>
    <rPh sb="0" eb="2">
      <t>ニッツウ</t>
    </rPh>
    <rPh sb="3" eb="5">
      <t>ナリタ</t>
    </rPh>
    <phoneticPr fontId="1"/>
  </si>
  <si>
    <t>0476-36-3270</t>
    <phoneticPr fontId="1"/>
  </si>
  <si>
    <t>0826</t>
    <phoneticPr fontId="1"/>
  </si>
  <si>
    <t>INS12</t>
  </si>
  <si>
    <t>INS13</t>
  </si>
  <si>
    <t>安達包運㈱名港西２</t>
    <rPh sb="0" eb="2">
      <t>アダチ</t>
    </rPh>
    <rPh sb="2" eb="3">
      <t>ホウ</t>
    </rPh>
    <rPh sb="3" eb="4">
      <t>ウン</t>
    </rPh>
    <rPh sb="5" eb="7">
      <t>メイコウ</t>
    </rPh>
    <rPh sb="7" eb="8">
      <t>ニシ</t>
    </rPh>
    <phoneticPr fontId="1"/>
  </si>
  <si>
    <t>0567-55-2633</t>
    <phoneticPr fontId="1"/>
  </si>
  <si>
    <t>INM01</t>
    <phoneticPr fontId="1"/>
  </si>
  <si>
    <t>インドネシア／MINDA</t>
    <phoneticPr fontId="1"/>
  </si>
  <si>
    <t>INM02</t>
    <phoneticPr fontId="1"/>
  </si>
  <si>
    <t>インドネシア／MINDA</t>
    <phoneticPr fontId="1"/>
  </si>
  <si>
    <t>TASｴｸｽﾌﾟﾚｽ㈱成田</t>
    <rPh sb="11" eb="13">
      <t>ナリタ</t>
    </rPh>
    <phoneticPr fontId="1"/>
  </si>
  <si>
    <t>0476-49-0201</t>
    <phoneticPr fontId="1"/>
  </si>
  <si>
    <t>0242</t>
    <phoneticPr fontId="1"/>
  </si>
  <si>
    <t>豊通ケミプラス㈱西島様扱い　　</t>
    <rPh sb="0" eb="2">
      <t>トヨミチ</t>
    </rPh>
    <rPh sb="8" eb="11">
      <t>ニシジマサマ</t>
    </rPh>
    <rPh sb="11" eb="12">
      <t>アツカ</t>
    </rPh>
    <phoneticPr fontId="1"/>
  </si>
  <si>
    <t>INM03</t>
    <phoneticPr fontId="1"/>
  </si>
  <si>
    <t>KOH02</t>
    <phoneticPr fontId="1"/>
  </si>
  <si>
    <t>名港海運㈱西2区</t>
    <rPh sb="0" eb="2">
      <t>メイコウ</t>
    </rPh>
    <rPh sb="2" eb="4">
      <t>カイウン</t>
    </rPh>
    <rPh sb="5" eb="6">
      <t>ニシ</t>
    </rPh>
    <rPh sb="7" eb="8">
      <t>ク</t>
    </rPh>
    <phoneticPr fontId="1"/>
  </si>
  <si>
    <t>KOL01</t>
    <phoneticPr fontId="1"/>
  </si>
  <si>
    <t>SAH03</t>
    <phoneticPr fontId="1"/>
  </si>
  <si>
    <t>SAH04</t>
    <phoneticPr fontId="1"/>
  </si>
  <si>
    <t>SAL01</t>
    <phoneticPr fontId="1"/>
  </si>
  <si>
    <t>TAD05</t>
    <phoneticPr fontId="1"/>
  </si>
  <si>
    <t>TAD06</t>
    <phoneticPr fontId="1"/>
  </si>
  <si>
    <t>TAD07</t>
    <phoneticPr fontId="1"/>
  </si>
  <si>
    <t>TAD08</t>
    <phoneticPr fontId="1"/>
  </si>
  <si>
    <t>日本通運㈱浜松</t>
    <rPh sb="0" eb="2">
      <t>ニホン</t>
    </rPh>
    <rPh sb="2" eb="4">
      <t>ツウウン</t>
    </rPh>
    <rPh sb="5" eb="7">
      <t>ハママツ</t>
    </rPh>
    <phoneticPr fontId="1"/>
  </si>
  <si>
    <t>053-431-1139</t>
    <phoneticPr fontId="1"/>
  </si>
  <si>
    <t>0001</t>
    <phoneticPr fontId="1"/>
  </si>
  <si>
    <t>TAD09</t>
  </si>
  <si>
    <t>鈴与㈱鶴見倉庫</t>
    <rPh sb="0" eb="2">
      <t>スズヨ</t>
    </rPh>
    <rPh sb="3" eb="5">
      <t>ツルミ</t>
    </rPh>
    <rPh sb="5" eb="7">
      <t>ソウコ</t>
    </rPh>
    <phoneticPr fontId="1"/>
  </si>
  <si>
    <t>054-521-0021</t>
    <phoneticPr fontId="1"/>
  </si>
  <si>
    <t>SHK03</t>
    <phoneticPr fontId="1"/>
  </si>
  <si>
    <t>SHK04</t>
    <phoneticPr fontId="1"/>
  </si>
  <si>
    <t>SHK05</t>
  </si>
  <si>
    <t>㈱日祥物流　成田</t>
    <rPh sb="1" eb="3">
      <t>ニッショウ</t>
    </rPh>
    <rPh sb="3" eb="5">
      <t>ブツリュウ</t>
    </rPh>
    <rPh sb="6" eb="8">
      <t>ナリタ</t>
    </rPh>
    <phoneticPr fontId="1"/>
  </si>
  <si>
    <t>THK03</t>
    <phoneticPr fontId="1"/>
  </si>
  <si>
    <t>THK06</t>
    <phoneticPr fontId="1"/>
  </si>
  <si>
    <t>1444</t>
    <phoneticPr fontId="1"/>
  </si>
  <si>
    <t>0568-38-8120</t>
    <phoneticPr fontId="1"/>
  </si>
  <si>
    <t>UKK03</t>
    <phoneticPr fontId="1"/>
  </si>
  <si>
    <t>UKK04</t>
  </si>
  <si>
    <t>KEL02</t>
    <phoneticPr fontId="1"/>
  </si>
  <si>
    <t>054-365-6383</t>
    <phoneticPr fontId="1"/>
  </si>
  <si>
    <t>0031</t>
    <phoneticPr fontId="1"/>
  </si>
  <si>
    <t>0543-65-6383</t>
    <phoneticPr fontId="1"/>
  </si>
  <si>
    <t>フィリピンタミヤ</t>
    <phoneticPr fontId="1"/>
  </si>
  <si>
    <t>ケースマーク　</t>
    <phoneticPr fontId="1"/>
  </si>
  <si>
    <t>0206</t>
    <phoneticPr fontId="1"/>
  </si>
  <si>
    <t>045-521-0021</t>
    <phoneticPr fontId="1"/>
  </si>
  <si>
    <t>TAD11</t>
    <phoneticPr fontId="1"/>
  </si>
  <si>
    <t>㈱日陸　横浜物流</t>
    <rPh sb="1" eb="2">
      <t>ニチ</t>
    </rPh>
    <rPh sb="2" eb="3">
      <t>リク</t>
    </rPh>
    <rPh sb="4" eb="6">
      <t>ヨコハマ</t>
    </rPh>
    <rPh sb="6" eb="8">
      <t>ブツリュウ</t>
    </rPh>
    <phoneticPr fontId="1"/>
  </si>
  <si>
    <t>045-508-1551</t>
    <phoneticPr fontId="1"/>
  </si>
  <si>
    <t>近鉄ｴｸｽﾌﾟﾚｽ　成田</t>
    <rPh sb="0" eb="2">
      <t>キンテツ</t>
    </rPh>
    <rPh sb="10" eb="12">
      <t>ナリタ</t>
    </rPh>
    <phoneticPr fontId="1"/>
  </si>
  <si>
    <t>0479-70-9205</t>
    <phoneticPr fontId="1"/>
  </si>
  <si>
    <t>西鉄物流㈱成田</t>
    <rPh sb="0" eb="2">
      <t>ニシテツ</t>
    </rPh>
    <rPh sb="2" eb="4">
      <t>ブツリュウ</t>
    </rPh>
    <rPh sb="5" eb="7">
      <t>ナリタ</t>
    </rPh>
    <phoneticPr fontId="1"/>
  </si>
  <si>
    <t>0479-78-0551</t>
    <phoneticPr fontId="1"/>
  </si>
  <si>
    <t>1608</t>
    <phoneticPr fontId="1"/>
  </si>
  <si>
    <t>㈱築港　９号地</t>
    <rPh sb="1" eb="2">
      <t>チク</t>
    </rPh>
    <rPh sb="2" eb="3">
      <t>コウ</t>
    </rPh>
    <rPh sb="5" eb="6">
      <t>ゴウ</t>
    </rPh>
    <rPh sb="6" eb="7">
      <t>チ</t>
    </rPh>
    <phoneticPr fontId="1"/>
  </si>
  <si>
    <t>052-614-4600</t>
    <phoneticPr fontId="1"/>
  </si>
  <si>
    <t>0028</t>
    <phoneticPr fontId="1"/>
  </si>
  <si>
    <t>丸一海運㈱</t>
    <rPh sb="0" eb="1">
      <t>マル</t>
    </rPh>
    <rPh sb="1" eb="2">
      <t>イチ</t>
    </rPh>
    <rPh sb="2" eb="4">
      <t>カイウン</t>
    </rPh>
    <phoneticPr fontId="1"/>
  </si>
  <si>
    <t>06-6612-3371</t>
    <phoneticPr fontId="1"/>
  </si>
  <si>
    <t>0000</t>
    <phoneticPr fontId="1"/>
  </si>
  <si>
    <t>GZS06</t>
  </si>
  <si>
    <t>㈱築港　横浜第２</t>
    <rPh sb="1" eb="2">
      <t>チク</t>
    </rPh>
    <rPh sb="2" eb="3">
      <t>コウ</t>
    </rPh>
    <rPh sb="4" eb="6">
      <t>ヨコハマ</t>
    </rPh>
    <rPh sb="6" eb="7">
      <t>ダイ</t>
    </rPh>
    <phoneticPr fontId="1"/>
  </si>
  <si>
    <t>045-510-4590</t>
    <phoneticPr fontId="1"/>
  </si>
  <si>
    <t>㈱築港　大黒倉庫</t>
    <rPh sb="1" eb="2">
      <t>チク</t>
    </rPh>
    <rPh sb="2" eb="3">
      <t>コウ</t>
    </rPh>
    <rPh sb="4" eb="6">
      <t>ダイコク</t>
    </rPh>
    <rPh sb="6" eb="8">
      <t>ソウコ</t>
    </rPh>
    <phoneticPr fontId="1"/>
  </si>
  <si>
    <t>0467-36-3270</t>
    <phoneticPr fontId="1"/>
  </si>
  <si>
    <t>0225</t>
    <phoneticPr fontId="1"/>
  </si>
  <si>
    <t>HAS04</t>
  </si>
  <si>
    <t>オーダーNoと「長瀬産業/EXGO」 小木様宛</t>
    <rPh sb="8" eb="10">
      <t>ナガセ</t>
    </rPh>
    <rPh sb="10" eb="12">
      <t>サンギョウ</t>
    </rPh>
    <rPh sb="19" eb="20">
      <t>コ</t>
    </rPh>
    <rPh sb="20" eb="21">
      <t>キ</t>
    </rPh>
    <rPh sb="21" eb="22">
      <t>サマ</t>
    </rPh>
    <rPh sb="22" eb="23">
      <t>アテ</t>
    </rPh>
    <phoneticPr fontId="1"/>
  </si>
  <si>
    <t>HAS05</t>
  </si>
  <si>
    <t>西鉄物流㈱梱包センター</t>
    <rPh sb="0" eb="2">
      <t>ニシテツ</t>
    </rPh>
    <rPh sb="2" eb="4">
      <t>ブツリュウ</t>
    </rPh>
    <rPh sb="5" eb="7">
      <t>コンポウ</t>
    </rPh>
    <phoneticPr fontId="1"/>
  </si>
  <si>
    <t>IDL02</t>
    <phoneticPr fontId="1"/>
  </si>
  <si>
    <t>インドLUMAX</t>
    <phoneticPr fontId="1"/>
  </si>
  <si>
    <t>㈱近鉄ｴｸｽﾌﾟﾚｽ　成田</t>
    <rPh sb="1" eb="3">
      <t>キンテツ</t>
    </rPh>
    <rPh sb="11" eb="13">
      <t>ナリタ</t>
    </rPh>
    <phoneticPr fontId="1"/>
  </si>
  <si>
    <t>㈱築港　横浜</t>
    <rPh sb="1" eb="2">
      <t>チク</t>
    </rPh>
    <rPh sb="2" eb="3">
      <t>コウ</t>
    </rPh>
    <rPh sb="4" eb="5">
      <t>ヨコ</t>
    </rPh>
    <rPh sb="5" eb="6">
      <t>ハマ</t>
    </rPh>
    <phoneticPr fontId="1"/>
  </si>
  <si>
    <t>INS03</t>
    <phoneticPr fontId="1"/>
  </si>
  <si>
    <t>㈱日祥物流　成田</t>
    <rPh sb="1" eb="2">
      <t>ヒ</t>
    </rPh>
    <rPh sb="2" eb="3">
      <t>ショ</t>
    </rPh>
    <rPh sb="3" eb="5">
      <t>ブツリュウ</t>
    </rPh>
    <rPh sb="6" eb="8">
      <t>ナリタ</t>
    </rPh>
    <phoneticPr fontId="1"/>
  </si>
  <si>
    <t>INS05</t>
  </si>
  <si>
    <t>JUS02</t>
    <phoneticPr fontId="1"/>
  </si>
  <si>
    <t>JUS04</t>
  </si>
  <si>
    <t>マレーシア・テックシー</t>
    <phoneticPr fontId="1"/>
  </si>
  <si>
    <t>MAI03</t>
    <phoneticPr fontId="1"/>
  </si>
  <si>
    <t>MAI04</t>
  </si>
  <si>
    <t>0034</t>
    <phoneticPr fontId="1"/>
  </si>
  <si>
    <t>0476-73-6780</t>
    <phoneticPr fontId="1"/>
  </si>
  <si>
    <t>TES05</t>
  </si>
  <si>
    <t>0479-78-0818</t>
    <phoneticPr fontId="1"/>
  </si>
  <si>
    <t>VES05</t>
  </si>
  <si>
    <t>ファイヤー　コーション</t>
    <phoneticPr fontId="1"/>
  </si>
  <si>
    <t>03-3529-5521</t>
    <phoneticPr fontId="1"/>
  </si>
  <si>
    <t>0063</t>
    <phoneticPr fontId="1"/>
  </si>
  <si>
    <t>0479-70-9402</t>
    <phoneticPr fontId="1"/>
  </si>
  <si>
    <t>CHD04</t>
    <phoneticPr fontId="1"/>
  </si>
  <si>
    <t>027-382-3781</t>
    <phoneticPr fontId="1"/>
  </si>
  <si>
    <t>CHD03</t>
    <phoneticPr fontId="1"/>
  </si>
  <si>
    <t>045-510-2135</t>
    <phoneticPr fontId="1"/>
  </si>
  <si>
    <t>CHD01</t>
    <phoneticPr fontId="1"/>
  </si>
  <si>
    <t>CHD05</t>
    <phoneticPr fontId="1"/>
  </si>
  <si>
    <t>045-785-0221</t>
    <phoneticPr fontId="1"/>
  </si>
  <si>
    <t>0003</t>
    <phoneticPr fontId="1"/>
  </si>
  <si>
    <t>CHS01</t>
    <phoneticPr fontId="1"/>
  </si>
  <si>
    <t>045-785-0314</t>
    <phoneticPr fontId="1"/>
  </si>
  <si>
    <t>KOK01</t>
    <phoneticPr fontId="1"/>
  </si>
  <si>
    <t>KEUM KANG 塗料工業</t>
    <rPh sb="10" eb="12">
      <t>トリョウ</t>
    </rPh>
    <rPh sb="12" eb="14">
      <t>コウギョウ</t>
    </rPh>
    <phoneticPr fontId="1"/>
  </si>
  <si>
    <t>045-785-0014</t>
    <phoneticPr fontId="1"/>
  </si>
  <si>
    <t>0479-70-8580</t>
    <phoneticPr fontId="1"/>
  </si>
  <si>
    <t>045-785-0411</t>
    <phoneticPr fontId="1"/>
  </si>
  <si>
    <t>豊田通商依頼分</t>
    <rPh sb="0" eb="2">
      <t>トヨタ</t>
    </rPh>
    <rPh sb="2" eb="4">
      <t>ツウショウ</t>
    </rPh>
    <rPh sb="4" eb="6">
      <t>イライ</t>
    </rPh>
    <rPh sb="6" eb="7">
      <t>ブン</t>
    </rPh>
    <phoneticPr fontId="12"/>
  </si>
  <si>
    <t>＊英国・小糸向け</t>
    <rPh sb="1" eb="3">
      <t>エイコク</t>
    </rPh>
    <rPh sb="4" eb="6">
      <t>コイト</t>
    </rPh>
    <rPh sb="6" eb="7">
      <t>ム</t>
    </rPh>
    <phoneticPr fontId="12"/>
  </si>
  <si>
    <t>ECラベル不要(H.24.8.6鈴木さん確認)</t>
    <rPh sb="5" eb="7">
      <t>フヨウ</t>
    </rPh>
    <rPh sb="16" eb="18">
      <t>スズキ</t>
    </rPh>
    <rPh sb="20" eb="22">
      <t>カクニン</t>
    </rPh>
    <phoneticPr fontId="12"/>
  </si>
  <si>
    <t>＊全向け先・エアー便</t>
    <rPh sb="1" eb="2">
      <t>ゼン</t>
    </rPh>
    <rPh sb="2" eb="3">
      <t>ム</t>
    </rPh>
    <rPh sb="4" eb="5">
      <t>サキ</t>
    </rPh>
    <rPh sb="9" eb="10">
      <t>ビン</t>
    </rPh>
    <phoneticPr fontId="12"/>
  </si>
  <si>
    <t>ケースマーク不要</t>
    <rPh sb="6" eb="8">
      <t>フヨウ</t>
    </rPh>
    <phoneticPr fontId="12"/>
  </si>
  <si>
    <t>＊船便・ケースマーク不要向け先</t>
    <rPh sb="1" eb="2">
      <t>フネ</t>
    </rPh>
    <rPh sb="2" eb="3">
      <t>ビン</t>
    </rPh>
    <rPh sb="10" eb="12">
      <t>フヨウ</t>
    </rPh>
    <rPh sb="12" eb="13">
      <t>ム</t>
    </rPh>
    <rPh sb="14" eb="15">
      <t>サキ</t>
    </rPh>
    <phoneticPr fontId="12"/>
  </si>
  <si>
    <t>タイ・スタンレー、タイ・小糸、インドネシア・スタンレー、インドネシア・小糸、インドネシア・南部、</t>
    <rPh sb="12" eb="14">
      <t>コイト</t>
    </rPh>
    <rPh sb="35" eb="37">
      <t>コイト</t>
    </rPh>
    <rPh sb="45" eb="47">
      <t>ナンブ</t>
    </rPh>
    <phoneticPr fontId="12"/>
  </si>
  <si>
    <t>インドネシア・アストラオート、台湾大億、上海小糸、広州小糸</t>
    <rPh sb="15" eb="17">
      <t>タイワン</t>
    </rPh>
    <rPh sb="17" eb="18">
      <t>ダイ</t>
    </rPh>
    <rPh sb="18" eb="19">
      <t>オク</t>
    </rPh>
    <rPh sb="20" eb="22">
      <t>シャンハイ</t>
    </rPh>
    <rPh sb="22" eb="24">
      <t>コイト</t>
    </rPh>
    <rPh sb="25" eb="27">
      <t>コウシュウ</t>
    </rPh>
    <rPh sb="27" eb="29">
      <t>コイト</t>
    </rPh>
    <phoneticPr fontId="12"/>
  </si>
  <si>
    <t>0053</t>
    <phoneticPr fontId="1"/>
  </si>
  <si>
    <t>INN13</t>
  </si>
  <si>
    <t>THV01</t>
    <phoneticPr fontId="1"/>
  </si>
  <si>
    <t>タイVOLCANO</t>
    <phoneticPr fontId="1"/>
  </si>
  <si>
    <t>THB01</t>
    <phoneticPr fontId="1"/>
  </si>
  <si>
    <t>TAD10</t>
  </si>
  <si>
    <t>JUS05</t>
  </si>
  <si>
    <t>06-6612-3371</t>
    <phoneticPr fontId="1"/>
  </si>
  <si>
    <t>0034</t>
    <phoneticPr fontId="1"/>
  </si>
  <si>
    <t xml:space="preserve">オーダーNoと「長瀬産業/EXGO」 </t>
    <rPh sb="8" eb="10">
      <t>ナガセ</t>
    </rPh>
    <rPh sb="10" eb="12">
      <t>サンギョウ</t>
    </rPh>
    <phoneticPr fontId="1"/>
  </si>
  <si>
    <t>GZK06</t>
  </si>
  <si>
    <t>㈱日祥物流　成田</t>
    <rPh sb="1" eb="3">
      <t>ニッショウ</t>
    </rPh>
    <rPh sb="3" eb="5">
      <t>ブツリュウ</t>
    </rPh>
    <rPh sb="6" eb="8">
      <t>ナリタ</t>
    </rPh>
    <phoneticPr fontId="1"/>
  </si>
  <si>
    <t>0476-49-0201</t>
    <phoneticPr fontId="1"/>
  </si>
  <si>
    <t>0242</t>
    <phoneticPr fontId="1"/>
  </si>
  <si>
    <t>CAN Ｎｏ.　</t>
    <phoneticPr fontId="1"/>
  </si>
  <si>
    <t>CAN Ｎｏ.　</t>
    <phoneticPr fontId="1"/>
  </si>
  <si>
    <t>GZS07</t>
  </si>
  <si>
    <t>0826</t>
    <phoneticPr fontId="1"/>
  </si>
  <si>
    <t>「NH2-N005　長瀬産業扱い」</t>
    <rPh sb="10" eb="12">
      <t>ナガセ</t>
    </rPh>
    <rPh sb="12" eb="14">
      <t>サンギョウ</t>
    </rPh>
    <rPh sb="14" eb="15">
      <t>アツカ</t>
    </rPh>
    <phoneticPr fontId="1"/>
  </si>
  <si>
    <t>INM04</t>
  </si>
  <si>
    <t>INM05</t>
  </si>
  <si>
    <t>VES13</t>
    <phoneticPr fontId="1"/>
  </si>
  <si>
    <t>VES12</t>
    <phoneticPr fontId="1"/>
  </si>
  <si>
    <t>SHK06</t>
    <phoneticPr fontId="1"/>
  </si>
  <si>
    <t>INK07</t>
  </si>
  <si>
    <t>0476-49-0201</t>
    <phoneticPr fontId="1"/>
  </si>
  <si>
    <t>0242</t>
    <phoneticPr fontId="1"/>
  </si>
  <si>
    <t>三井倉庫エクスプレス株式会社</t>
    <rPh sb="0" eb="2">
      <t>ミツイ</t>
    </rPh>
    <rPh sb="2" eb="4">
      <t>ソウコ</t>
    </rPh>
    <rPh sb="10" eb="12">
      <t>カブシキ</t>
    </rPh>
    <rPh sb="12" eb="14">
      <t>カイシャ</t>
    </rPh>
    <phoneticPr fontId="1"/>
  </si>
  <si>
    <t>INK08</t>
    <phoneticPr fontId="1"/>
  </si>
  <si>
    <t>㈱日祥物流　成田ﾀｰﾐﾅﾙ</t>
    <rPh sb="1" eb="3">
      <t>ニッショウ</t>
    </rPh>
    <rPh sb="3" eb="5">
      <t>ブツリュウ</t>
    </rPh>
    <rPh sb="6" eb="8">
      <t>ナリタ</t>
    </rPh>
    <phoneticPr fontId="1"/>
  </si>
  <si>
    <t>0476-49-0201</t>
    <phoneticPr fontId="1"/>
  </si>
  <si>
    <t>0242</t>
    <phoneticPr fontId="1"/>
  </si>
  <si>
    <t>豊通ケミプラス㈱西島様扱い</t>
    <rPh sb="0" eb="2">
      <t>トヨツウ</t>
    </rPh>
    <rPh sb="8" eb="10">
      <t>ニシジマ</t>
    </rPh>
    <rPh sb="10" eb="11">
      <t>サマ</t>
    </rPh>
    <rPh sb="11" eb="12">
      <t>アツカ</t>
    </rPh>
    <phoneticPr fontId="1"/>
  </si>
  <si>
    <t>0567-55-2633</t>
    <phoneticPr fontId="1"/>
  </si>
  <si>
    <t>INN04</t>
    <phoneticPr fontId="1"/>
  </si>
  <si>
    <t>INN03</t>
    <phoneticPr fontId="1"/>
  </si>
  <si>
    <t>1444</t>
    <phoneticPr fontId="1"/>
  </si>
  <si>
    <t>VES14</t>
  </si>
  <si>
    <t>THK07</t>
    <phoneticPr fontId="1"/>
  </si>
  <si>
    <t>㈱日祥物流　成田</t>
    <rPh sb="1" eb="3">
      <t>ニッショウ</t>
    </rPh>
    <rPh sb="3" eb="5">
      <t>ブツリュウ</t>
    </rPh>
    <rPh sb="6" eb="8">
      <t>ナリタ</t>
    </rPh>
    <phoneticPr fontId="1"/>
  </si>
  <si>
    <t>0476-49-0201</t>
    <phoneticPr fontId="1"/>
  </si>
  <si>
    <t>0242</t>
    <phoneticPr fontId="1"/>
  </si>
  <si>
    <t>KCZ01</t>
    <phoneticPr fontId="1"/>
  </si>
  <si>
    <t>FKK01</t>
    <phoneticPr fontId="1"/>
  </si>
  <si>
    <t>福州小糸</t>
    <rPh sb="0" eb="1">
      <t>フク</t>
    </rPh>
    <rPh sb="1" eb="2">
      <t>シュウ</t>
    </rPh>
    <rPh sb="2" eb="4">
      <t>コイト</t>
    </rPh>
    <phoneticPr fontId="1"/>
  </si>
  <si>
    <t>THK05</t>
    <phoneticPr fontId="1"/>
  </si>
  <si>
    <r>
      <t>T</t>
    </r>
    <r>
      <rPr>
        <sz val="11"/>
        <rFont val="ＭＳ Ｐゴシック"/>
        <family val="3"/>
        <charset val="128"/>
      </rPr>
      <t>ASｴｸｽﾌﾟﾚｽ㈱成田</t>
    </r>
    <rPh sb="11" eb="13">
      <t>ナリタ</t>
    </rPh>
    <phoneticPr fontId="1"/>
  </si>
  <si>
    <t>0476-49-0201</t>
    <phoneticPr fontId="1"/>
  </si>
  <si>
    <t>0242</t>
    <phoneticPr fontId="1"/>
  </si>
  <si>
    <t>THS04</t>
    <phoneticPr fontId="1"/>
  </si>
  <si>
    <t>THS03</t>
    <phoneticPr fontId="1"/>
  </si>
  <si>
    <t>三井倉庫</t>
    <rPh sb="0" eb="2">
      <t>ミツイ</t>
    </rPh>
    <rPh sb="2" eb="4">
      <t>ソウコ</t>
    </rPh>
    <phoneticPr fontId="1"/>
  </si>
  <si>
    <t>TASｴｸｽﾌﾟﾚｽ㈱成田</t>
    <rPh sb="11" eb="13">
      <t>ナリタ</t>
    </rPh>
    <phoneticPr fontId="1"/>
  </si>
  <si>
    <t>0476-49-0201</t>
  </si>
  <si>
    <t>0242</t>
    <phoneticPr fontId="1"/>
  </si>
  <si>
    <t>VES11</t>
    <phoneticPr fontId="1"/>
  </si>
  <si>
    <t>0476-49-0201</t>
    <phoneticPr fontId="1"/>
  </si>
  <si>
    <t>0242</t>
    <phoneticPr fontId="1"/>
  </si>
  <si>
    <t>UKK05</t>
  </si>
  <si>
    <t>GZS08</t>
  </si>
  <si>
    <t>0567-66-3353</t>
    <phoneticPr fontId="1"/>
  </si>
  <si>
    <t>0061</t>
    <phoneticPr fontId="1"/>
  </si>
  <si>
    <t>054-369-6666</t>
    <phoneticPr fontId="1"/>
  </si>
  <si>
    <t>SAL02</t>
  </si>
  <si>
    <t>SAL03</t>
  </si>
  <si>
    <t>SAL04</t>
  </si>
  <si>
    <t>商船三井成田</t>
  </si>
  <si>
    <t>商船三井</t>
  </si>
  <si>
    <t>日祥物流成田ﾀｰﾐﾅﾙ</t>
  </si>
  <si>
    <t>0476-35-6183</t>
  </si>
  <si>
    <t>0569-38-8120</t>
  </si>
  <si>
    <t>0467-49-0201</t>
  </si>
  <si>
    <t>KCZ02</t>
    <phoneticPr fontId="1"/>
  </si>
  <si>
    <t>㈱日祥物流　成田</t>
    <rPh sb="1" eb="3">
      <t>ニッショウ</t>
    </rPh>
    <rPh sb="3" eb="5">
      <t>ブツリュウ</t>
    </rPh>
    <rPh sb="6" eb="8">
      <t>ナリタ</t>
    </rPh>
    <phoneticPr fontId="1"/>
  </si>
  <si>
    <t>0476-49-0201</t>
    <phoneticPr fontId="1"/>
  </si>
  <si>
    <t>0242</t>
    <phoneticPr fontId="1"/>
  </si>
  <si>
    <t>KCZ03</t>
    <phoneticPr fontId="1"/>
  </si>
  <si>
    <t>三井倉庫エクスプレス株式会社</t>
    <rPh sb="0" eb="2">
      <t>ミツイ</t>
    </rPh>
    <rPh sb="2" eb="4">
      <t>ソウコ</t>
    </rPh>
    <rPh sb="10" eb="12">
      <t>カブシキ</t>
    </rPh>
    <rPh sb="12" eb="14">
      <t>カイシャ</t>
    </rPh>
    <phoneticPr fontId="1"/>
  </si>
  <si>
    <t>0476-49-0201</t>
    <phoneticPr fontId="1"/>
  </si>
  <si>
    <t>0242</t>
    <phoneticPr fontId="1"/>
  </si>
  <si>
    <t>豊通ケミプラス㈱西島様扱い</t>
    <rPh sb="0" eb="2">
      <t>トヨツウ</t>
    </rPh>
    <rPh sb="8" eb="10">
      <t>ニシジマ</t>
    </rPh>
    <rPh sb="10" eb="11">
      <t>サマ</t>
    </rPh>
    <rPh sb="11" eb="12">
      <t>アツカ</t>
    </rPh>
    <phoneticPr fontId="1"/>
  </si>
  <si>
    <t>045-785-0314</t>
    <phoneticPr fontId="1"/>
  </si>
  <si>
    <t>IDK05</t>
  </si>
  <si>
    <t>㈱日祥物流　成田</t>
    <rPh sb="1" eb="3">
      <t>ニッショウ</t>
    </rPh>
    <rPh sb="3" eb="5">
      <t>ブツリュウ</t>
    </rPh>
    <rPh sb="6" eb="8">
      <t>ナリタ</t>
    </rPh>
    <phoneticPr fontId="1"/>
  </si>
  <si>
    <t>水野</t>
    <rPh sb="0" eb="2">
      <t>ミズノ</t>
    </rPh>
    <phoneticPr fontId="1"/>
  </si>
  <si>
    <t>0476-49-0201</t>
    <phoneticPr fontId="1"/>
  </si>
  <si>
    <t>0242</t>
    <phoneticPr fontId="1"/>
  </si>
  <si>
    <t xml:space="preserve">豊田通商 4545 / </t>
    <rPh sb="0" eb="2">
      <t>トヨタ</t>
    </rPh>
    <rPh sb="2" eb="4">
      <t>ツウショウ</t>
    </rPh>
    <phoneticPr fontId="1"/>
  </si>
  <si>
    <t>TKTT1</t>
    <phoneticPr fontId="1"/>
  </si>
  <si>
    <t>TKTT</t>
    <phoneticPr fontId="1"/>
  </si>
  <si>
    <t>TKTT2</t>
  </si>
  <si>
    <t>TKTT3</t>
  </si>
  <si>
    <t>TKTT4</t>
  </si>
  <si>
    <t>インドネシア／MINDA</t>
    <phoneticPr fontId="1"/>
  </si>
  <si>
    <t>インドネシア／小糸</t>
    <rPh sb="7" eb="9">
      <t>コイト</t>
    </rPh>
    <phoneticPr fontId="1"/>
  </si>
  <si>
    <t>インドネシア／南部化成</t>
    <rPh sb="7" eb="9">
      <t>ナンブ</t>
    </rPh>
    <rPh sb="9" eb="11">
      <t>カセイ</t>
    </rPh>
    <phoneticPr fontId="1"/>
  </si>
  <si>
    <t>南アフリカ／小糸</t>
    <rPh sb="0" eb="1">
      <t>ミナミ</t>
    </rPh>
    <rPh sb="6" eb="8">
      <t>コイト</t>
    </rPh>
    <phoneticPr fontId="1"/>
  </si>
  <si>
    <t>豊田通商・台湾／大億交通</t>
    <rPh sb="0" eb="2">
      <t>トヨタ</t>
    </rPh>
    <rPh sb="2" eb="4">
      <t>ツウショウ</t>
    </rPh>
    <rPh sb="5" eb="7">
      <t>タイワン</t>
    </rPh>
    <rPh sb="8" eb="9">
      <t>ダイ</t>
    </rPh>
    <rPh sb="9" eb="10">
      <t>オク</t>
    </rPh>
    <rPh sb="10" eb="12">
      <t>コウツウ</t>
    </rPh>
    <phoneticPr fontId="1"/>
  </si>
  <si>
    <t>タイ／小糸</t>
    <rPh sb="3" eb="5">
      <t>コイト</t>
    </rPh>
    <phoneticPr fontId="1"/>
  </si>
  <si>
    <t>タイ／スタンレー</t>
    <phoneticPr fontId="1"/>
  </si>
  <si>
    <t>タイ小糸／美光</t>
    <rPh sb="2" eb="4">
      <t>コイト</t>
    </rPh>
    <rPh sb="5" eb="6">
      <t>ビ</t>
    </rPh>
    <rPh sb="6" eb="7">
      <t>コウ</t>
    </rPh>
    <phoneticPr fontId="1"/>
  </si>
  <si>
    <t>豊田通商・英国／小糸</t>
    <rPh sb="0" eb="2">
      <t>トヨタ</t>
    </rPh>
    <rPh sb="2" eb="4">
      <t>ツウショウ</t>
    </rPh>
    <rPh sb="5" eb="7">
      <t>エイコク</t>
    </rPh>
    <rPh sb="8" eb="10">
      <t>コイト</t>
    </rPh>
    <phoneticPr fontId="1"/>
  </si>
  <si>
    <t>伊坂・小糸／イギリス</t>
    <rPh sb="0" eb="2">
      <t>イサカ</t>
    </rPh>
    <rPh sb="3" eb="5">
      <t>コイト</t>
    </rPh>
    <phoneticPr fontId="1"/>
  </si>
  <si>
    <t>広州／スタンレー</t>
    <rPh sb="0" eb="2">
      <t>コウシュウ</t>
    </rPh>
    <phoneticPr fontId="1"/>
  </si>
  <si>
    <t>ハンガリー／スタンレー</t>
    <phoneticPr fontId="1"/>
  </si>
  <si>
    <t>インドネシア／市光</t>
    <rPh sb="7" eb="9">
      <t>イチコウ</t>
    </rPh>
    <phoneticPr fontId="1"/>
  </si>
  <si>
    <t>インドネシア／スタンレー</t>
    <phoneticPr fontId="1"/>
  </si>
  <si>
    <t>重慶／スタンレー</t>
    <rPh sb="0" eb="2">
      <t>ジュウケイ</t>
    </rPh>
    <phoneticPr fontId="1"/>
  </si>
  <si>
    <t>天津／スタンレー</t>
    <rPh sb="0" eb="1">
      <t>テン</t>
    </rPh>
    <rPh sb="1" eb="2">
      <t>ツ</t>
    </rPh>
    <phoneticPr fontId="1"/>
  </si>
  <si>
    <t>ベトナム／スタンレー</t>
    <phoneticPr fontId="1"/>
  </si>
  <si>
    <t>北米／スタンレー</t>
    <rPh sb="0" eb="2">
      <t>ホクベイ</t>
    </rPh>
    <phoneticPr fontId="1"/>
  </si>
  <si>
    <t>チェコ／小糸</t>
    <rPh sb="4" eb="6">
      <t>コイト</t>
    </rPh>
    <phoneticPr fontId="1"/>
  </si>
  <si>
    <t>TKTT</t>
    <phoneticPr fontId="1"/>
  </si>
  <si>
    <t>広州／小糸</t>
    <rPh sb="0" eb="2">
      <t>コウシュウ</t>
    </rPh>
    <rPh sb="3" eb="5">
      <t>コイト</t>
    </rPh>
    <phoneticPr fontId="1"/>
  </si>
  <si>
    <t>インド／小糸</t>
    <rPh sb="4" eb="6">
      <t>コイト</t>
    </rPh>
    <phoneticPr fontId="1"/>
  </si>
  <si>
    <t>ｲﾝﾄﾞﾈｼｱ／ｱｽﾄﾗｵｰﾄﾊﾟｰﾂ</t>
    <phoneticPr fontId="1"/>
  </si>
  <si>
    <t>ｲﾝﾄﾞﾈｼｱ／ｱｽﾄﾗｵｰﾄﾊﾟｰﾂ</t>
    <phoneticPr fontId="1"/>
  </si>
  <si>
    <t>THB02</t>
  </si>
  <si>
    <t>豊田通商 4545 /</t>
    <rPh sb="0" eb="2">
      <t>トヨタ</t>
    </rPh>
    <rPh sb="2" eb="4">
      <t>ツウショウ</t>
    </rPh>
    <phoneticPr fontId="1"/>
  </si>
  <si>
    <t>インドネシア／スタンレー</t>
    <phoneticPr fontId="1"/>
  </si>
  <si>
    <t>RUK01</t>
    <phoneticPr fontId="1"/>
  </si>
  <si>
    <t>RUK02</t>
    <phoneticPr fontId="1"/>
  </si>
  <si>
    <t>ロシア/小糸</t>
    <rPh sb="4" eb="6">
      <t>コイト</t>
    </rPh>
    <phoneticPr fontId="1"/>
  </si>
  <si>
    <t>㈱近鉄エクスプレス　成田</t>
    <rPh sb="1" eb="3">
      <t>キンテツ</t>
    </rPh>
    <rPh sb="10" eb="12">
      <t>ナリタ</t>
    </rPh>
    <phoneticPr fontId="1"/>
  </si>
  <si>
    <t>0476-49-0201</t>
    <phoneticPr fontId="1"/>
  </si>
  <si>
    <t>0242</t>
    <phoneticPr fontId="1"/>
  </si>
  <si>
    <t>0479-70-9205</t>
    <phoneticPr fontId="1"/>
  </si>
  <si>
    <t>1603</t>
    <phoneticPr fontId="1"/>
  </si>
  <si>
    <t>CHN01</t>
    <phoneticPr fontId="1"/>
  </si>
  <si>
    <t>長城通商/中国</t>
    <rPh sb="0" eb="2">
      <t>チョウジョウ</t>
    </rPh>
    <rPh sb="2" eb="4">
      <t>ツウショウ</t>
    </rPh>
    <rPh sb="5" eb="7">
      <t>チュウゴク</t>
    </rPh>
    <phoneticPr fontId="1"/>
  </si>
  <si>
    <t>鶴見倉庫㈱</t>
    <rPh sb="0" eb="2">
      <t>ツルミ</t>
    </rPh>
    <rPh sb="2" eb="4">
      <t>ソウコ</t>
    </rPh>
    <phoneticPr fontId="1"/>
  </si>
  <si>
    <t>045-521-0021</t>
    <phoneticPr fontId="1"/>
  </si>
  <si>
    <t>0053</t>
    <phoneticPr fontId="1"/>
  </si>
  <si>
    <t>RUK03</t>
  </si>
  <si>
    <t>RUK04</t>
  </si>
  <si>
    <t>㈱近鉄コスモス　成田梱包</t>
    <rPh sb="1" eb="3">
      <t>キンテツ</t>
    </rPh>
    <rPh sb="8" eb="10">
      <t>ナリタ</t>
    </rPh>
    <rPh sb="10" eb="12">
      <t>コンポウ</t>
    </rPh>
    <phoneticPr fontId="1"/>
  </si>
  <si>
    <t>㈱近鉄コスモス　成田物流</t>
    <rPh sb="1" eb="3">
      <t>キンテツ</t>
    </rPh>
    <rPh sb="8" eb="10">
      <t>ナリタ</t>
    </rPh>
    <rPh sb="10" eb="12">
      <t>ブツリュウ</t>
    </rPh>
    <phoneticPr fontId="1"/>
  </si>
  <si>
    <t>0479-70-9433</t>
    <phoneticPr fontId="1"/>
  </si>
  <si>
    <t>0479-85-8343</t>
    <phoneticPr fontId="1"/>
  </si>
  <si>
    <t>1603</t>
    <phoneticPr fontId="1"/>
  </si>
  <si>
    <t>1601</t>
    <phoneticPr fontId="1"/>
  </si>
  <si>
    <t>0567-56-1777</t>
    <phoneticPr fontId="1"/>
  </si>
  <si>
    <t>TAD11</t>
  </si>
  <si>
    <t>西鉄物流</t>
    <rPh sb="0" eb="2">
      <t>ニシテツ</t>
    </rPh>
    <rPh sb="2" eb="4">
      <t>ブツリュウ</t>
    </rPh>
    <phoneticPr fontId="1"/>
  </si>
  <si>
    <t>1689</t>
    <phoneticPr fontId="1"/>
  </si>
  <si>
    <t>0479-78-0551</t>
    <phoneticPr fontId="1"/>
  </si>
  <si>
    <t>受注NO</t>
    <rPh sb="0" eb="2">
      <t>ジュチュウ</t>
    </rPh>
    <phoneticPr fontId="12"/>
  </si>
  <si>
    <t>受注日</t>
    <rPh sb="0" eb="2">
      <t>ジュチュウ</t>
    </rPh>
    <rPh sb="2" eb="3">
      <t>ビ</t>
    </rPh>
    <phoneticPr fontId="12"/>
  </si>
  <si>
    <t>得意先注文NO</t>
    <rPh sb="0" eb="3">
      <t>トクイサキ</t>
    </rPh>
    <rPh sb="3" eb="5">
      <t>チュウモン</t>
    </rPh>
    <phoneticPr fontId="12"/>
  </si>
  <si>
    <t>得意先コード</t>
    <rPh sb="0" eb="3">
      <t>トクイサキ</t>
    </rPh>
    <phoneticPr fontId="12"/>
  </si>
  <si>
    <t>得意先名称１</t>
    <rPh sb="0" eb="3">
      <t>トクイサキ</t>
    </rPh>
    <rPh sb="3" eb="5">
      <t>メイショウ</t>
    </rPh>
    <phoneticPr fontId="12"/>
  </si>
  <si>
    <t>得意先名称２</t>
    <rPh sb="0" eb="5">
      <t>トクイサキメイショウ</t>
    </rPh>
    <phoneticPr fontId="12"/>
  </si>
  <si>
    <t>納入先コード</t>
    <rPh sb="0" eb="3">
      <t>ノウニュウサキ</t>
    </rPh>
    <phoneticPr fontId="12"/>
  </si>
  <si>
    <t>納入先名称１</t>
    <rPh sb="0" eb="3">
      <t>ノウニュウサキ</t>
    </rPh>
    <rPh sb="3" eb="5">
      <t>メイショウ</t>
    </rPh>
    <phoneticPr fontId="12"/>
  </si>
  <si>
    <t>納入先名称２</t>
    <rPh sb="0" eb="3">
      <t>ノウニュウサキ</t>
    </rPh>
    <rPh sb="3" eb="5">
      <t>メイショウ</t>
    </rPh>
    <phoneticPr fontId="12"/>
  </si>
  <si>
    <t>納入先住所１</t>
    <rPh sb="0" eb="3">
      <t>ノウニュウサキ</t>
    </rPh>
    <rPh sb="3" eb="5">
      <t>ジュウショ</t>
    </rPh>
    <phoneticPr fontId="12"/>
  </si>
  <si>
    <t>納入先住所２</t>
    <rPh sb="0" eb="3">
      <t>ノウニュウサキ</t>
    </rPh>
    <rPh sb="3" eb="5">
      <t>ジュウショ</t>
    </rPh>
    <phoneticPr fontId="12"/>
  </si>
  <si>
    <t>納入先電話番号</t>
    <rPh sb="0" eb="3">
      <t>ノウニュウサキ</t>
    </rPh>
    <rPh sb="3" eb="7">
      <t>デンワバンゴウ</t>
    </rPh>
    <phoneticPr fontId="12"/>
  </si>
  <si>
    <t>品番</t>
    <rPh sb="0" eb="2">
      <t>ヒンバン</t>
    </rPh>
    <phoneticPr fontId="12"/>
  </si>
  <si>
    <t>品名</t>
    <rPh sb="0" eb="2">
      <t>ヒンメイ</t>
    </rPh>
    <phoneticPr fontId="12"/>
  </si>
  <si>
    <t>納期</t>
    <rPh sb="0" eb="2">
      <t>ノウキ</t>
    </rPh>
    <phoneticPr fontId="12"/>
  </si>
  <si>
    <t>出荷予定日</t>
    <rPh sb="0" eb="2">
      <t>シュッカ</t>
    </rPh>
    <rPh sb="2" eb="4">
      <t>ヨテイ</t>
    </rPh>
    <rPh sb="4" eb="5">
      <t>ビ</t>
    </rPh>
    <phoneticPr fontId="12"/>
  </si>
  <si>
    <t>受注個数</t>
    <rPh sb="0" eb="2">
      <t>ジュチュウ</t>
    </rPh>
    <rPh sb="2" eb="4">
      <t>コスウ</t>
    </rPh>
    <phoneticPr fontId="12"/>
  </si>
  <si>
    <t>受注数量</t>
    <rPh sb="0" eb="2">
      <t>ジュチュウ</t>
    </rPh>
    <rPh sb="2" eb="4">
      <t>スウリョウ</t>
    </rPh>
    <phoneticPr fontId="12"/>
  </si>
  <si>
    <t>備考</t>
    <rPh sb="0" eb="2">
      <t>ビコウ</t>
    </rPh>
    <phoneticPr fontId="12"/>
  </si>
  <si>
    <t>INK09</t>
  </si>
  <si>
    <t>INK10</t>
  </si>
  <si>
    <t>日本通運㈱中部空港支店</t>
    <rPh sb="0" eb="2">
      <t>ニホン</t>
    </rPh>
    <rPh sb="2" eb="4">
      <t>ツウウン</t>
    </rPh>
    <rPh sb="5" eb="7">
      <t>チュウブ</t>
    </rPh>
    <rPh sb="7" eb="9">
      <t>クウコウ</t>
    </rPh>
    <rPh sb="9" eb="11">
      <t>シテン</t>
    </rPh>
    <phoneticPr fontId="1"/>
  </si>
  <si>
    <t>水野</t>
    <rPh sb="0" eb="2">
      <t>ミズノ</t>
    </rPh>
    <phoneticPr fontId="1"/>
  </si>
  <si>
    <t>0569-38-2272</t>
    <phoneticPr fontId="1"/>
  </si>
  <si>
    <t>0881</t>
    <phoneticPr fontId="1"/>
  </si>
  <si>
    <t>豊通ケミプラス㈱西島様扱い</t>
    <rPh sb="0" eb="2">
      <t>トヨツウ</t>
    </rPh>
    <rPh sb="8" eb="10">
      <t>ニシジマ</t>
    </rPh>
    <rPh sb="10" eb="11">
      <t>サマ</t>
    </rPh>
    <rPh sb="11" eb="12">
      <t>アツカ</t>
    </rPh>
    <phoneticPr fontId="1"/>
  </si>
  <si>
    <t>日本通運　成田</t>
    <rPh sb="0" eb="4">
      <t>ニホンツウウン</t>
    </rPh>
    <rPh sb="5" eb="7">
      <t>ナリタ</t>
    </rPh>
    <phoneticPr fontId="1"/>
  </si>
  <si>
    <t>0476-40-9771</t>
    <phoneticPr fontId="1"/>
  </si>
  <si>
    <t>0825</t>
    <phoneticPr fontId="1"/>
  </si>
  <si>
    <t>豊通ケミプラス㈱西島様扱い</t>
    <rPh sb="0" eb="2">
      <t>トヨツウ</t>
    </rPh>
    <rPh sb="8" eb="11">
      <t>ニシジマサマ</t>
    </rPh>
    <rPh sb="11" eb="12">
      <t>アツカ</t>
    </rPh>
    <phoneticPr fontId="1"/>
  </si>
  <si>
    <t>BRK01</t>
    <phoneticPr fontId="1"/>
  </si>
  <si>
    <t>ブラジル/ＮＡＬ</t>
    <phoneticPr fontId="1"/>
  </si>
  <si>
    <t>VES15</t>
  </si>
  <si>
    <t>豊通</t>
    <rPh sb="0" eb="2">
      <t>トヨツウ</t>
    </rPh>
    <phoneticPr fontId="12"/>
  </si>
  <si>
    <t>T1210</t>
  </si>
  <si>
    <t>UKK06</t>
  </si>
  <si>
    <t>THV03</t>
  </si>
  <si>
    <t>THV02</t>
  </si>
  <si>
    <t>THK08</t>
  </si>
  <si>
    <t>THC01</t>
  </si>
  <si>
    <t>SIP03</t>
  </si>
  <si>
    <t>SIP02</t>
  </si>
  <si>
    <t>SIP01</t>
  </si>
  <si>
    <t>SHK07</t>
  </si>
  <si>
    <t>SAL05</t>
  </si>
  <si>
    <t>PHT06</t>
  </si>
  <si>
    <t>伊坂　藤枝</t>
    <rPh sb="0" eb="2">
      <t>イサカ</t>
    </rPh>
    <rPh sb="3" eb="5">
      <t>フジエダ</t>
    </rPh>
    <phoneticPr fontId="12"/>
  </si>
  <si>
    <t>T0060</t>
  </si>
  <si>
    <t>PHT03</t>
  </si>
  <si>
    <t>PHT02</t>
  </si>
  <si>
    <t>KOT01</t>
  </si>
  <si>
    <t>豊通　名古屋</t>
  </si>
  <si>
    <t>T3510</t>
  </si>
  <si>
    <t>JSS01</t>
  </si>
  <si>
    <t>INS14</t>
  </si>
  <si>
    <t>INN05</t>
  </si>
  <si>
    <t>INM06</t>
  </si>
  <si>
    <t>INF01</t>
  </si>
  <si>
    <t>IND05</t>
  </si>
  <si>
    <t>IDL01</t>
  </si>
  <si>
    <t>長瀬</t>
    <rPh sb="0" eb="2">
      <t>ナガセ</t>
    </rPh>
    <phoneticPr fontId="12"/>
  </si>
  <si>
    <t>T2880</t>
  </si>
  <si>
    <t>GAS01</t>
  </si>
  <si>
    <t>セニー</t>
    <phoneticPr fontId="12"/>
  </si>
  <si>
    <t>T2850</t>
  </si>
  <si>
    <t>CZK01</t>
  </si>
  <si>
    <t>CHS02</t>
  </si>
  <si>
    <t>セニー</t>
    <phoneticPr fontId="12"/>
  </si>
  <si>
    <t>CHK01</t>
  </si>
  <si>
    <t>河口化学</t>
  </si>
  <si>
    <t>T3170</t>
  </si>
  <si>
    <t>CHD02</t>
  </si>
  <si>
    <t>オズワークス　インタ</t>
  </si>
  <si>
    <t>T3090</t>
  </si>
  <si>
    <t>BRS01</t>
  </si>
  <si>
    <t>双日</t>
    <rPh sb="0" eb="1">
      <t>フタ</t>
    </rPh>
    <rPh sb="1" eb="2">
      <t>ビ</t>
    </rPh>
    <phoneticPr fontId="12"/>
  </si>
  <si>
    <t>T3390</t>
  </si>
  <si>
    <t>ALS03</t>
  </si>
  <si>
    <t>セニー</t>
    <phoneticPr fontId="12"/>
  </si>
  <si>
    <t>ALS02</t>
  </si>
  <si>
    <t>向け先</t>
    <rPh sb="0" eb="1">
      <t>ム</t>
    </rPh>
    <rPh sb="2" eb="3">
      <t>サキ</t>
    </rPh>
    <phoneticPr fontId="12"/>
  </si>
  <si>
    <t>コード</t>
  </si>
  <si>
    <t>日本通運㈱航空事業支店</t>
    <rPh sb="0" eb="4">
      <t>ニホンツウウン</t>
    </rPh>
    <rPh sb="5" eb="7">
      <t>コウクウ</t>
    </rPh>
    <rPh sb="7" eb="9">
      <t>ジギョウ</t>
    </rPh>
    <rPh sb="9" eb="11">
      <t>シテン</t>
    </rPh>
    <phoneticPr fontId="1"/>
  </si>
  <si>
    <t>水野</t>
    <rPh sb="0" eb="2">
      <t>ミズノ</t>
    </rPh>
    <phoneticPr fontId="1"/>
  </si>
  <si>
    <t>0825</t>
    <phoneticPr fontId="1"/>
  </si>
  <si>
    <t>USF01</t>
    <phoneticPr fontId="1"/>
  </si>
  <si>
    <t>西鉄物流㈱梱包センター</t>
    <rPh sb="0" eb="4">
      <t>ニシテツブツリュウ</t>
    </rPh>
    <rPh sb="5" eb="7">
      <t>コンポウ</t>
    </rPh>
    <phoneticPr fontId="1"/>
  </si>
  <si>
    <t>0479-78-0551</t>
    <phoneticPr fontId="1"/>
  </si>
  <si>
    <t>1608</t>
    <phoneticPr fontId="1"/>
  </si>
  <si>
    <t>長瀬産業㈱様扱い</t>
    <rPh sb="0" eb="2">
      <t>ナガセ</t>
    </rPh>
    <rPh sb="2" eb="4">
      <t>サンギョウ</t>
    </rPh>
    <rPh sb="5" eb="6">
      <t>サマ</t>
    </rPh>
    <rPh sb="6" eb="7">
      <t>アツカ</t>
    </rPh>
    <phoneticPr fontId="1"/>
  </si>
  <si>
    <t>T3670</t>
    <phoneticPr fontId="1"/>
  </si>
  <si>
    <t>ATEジャパン</t>
    <phoneticPr fontId="1"/>
  </si>
  <si>
    <t>お引き取り</t>
    <rPh sb="1" eb="2">
      <t>ヒ</t>
    </rPh>
    <rPh sb="3" eb="4">
      <t>ト</t>
    </rPh>
    <phoneticPr fontId="1"/>
  </si>
  <si>
    <t>水野</t>
    <rPh sb="0" eb="2">
      <t>ミズノ</t>
    </rPh>
    <phoneticPr fontId="1"/>
  </si>
  <si>
    <t>048-446-7222</t>
    <phoneticPr fontId="1"/>
  </si>
  <si>
    <t>0012</t>
    <phoneticPr fontId="1"/>
  </si>
  <si>
    <t>豊通ケミプラス 浜松 / ｲﾝﾄﾞ 2237</t>
    <rPh sb="0" eb="2">
      <t>トヨツウ</t>
    </rPh>
    <rPh sb="8" eb="10">
      <t>ハママツ</t>
    </rPh>
    <phoneticPr fontId="1"/>
  </si>
  <si>
    <t>BRK02</t>
  </si>
  <si>
    <t>ブラジル/ＮＡＬ</t>
    <phoneticPr fontId="1"/>
  </si>
  <si>
    <t>VEN01</t>
    <phoneticPr fontId="1"/>
  </si>
  <si>
    <t>ﾍﾞﾄﾅﾑ/西東京ケミックス</t>
    <rPh sb="6" eb="9">
      <t>ニシトウキョウ</t>
    </rPh>
    <phoneticPr fontId="1"/>
  </si>
  <si>
    <t>舟津産業株式会社</t>
    <rPh sb="0" eb="8">
      <t>フナツサンギョウカブシキガイシャ</t>
    </rPh>
    <phoneticPr fontId="1"/>
  </si>
  <si>
    <t>水野</t>
    <rPh sb="0" eb="2">
      <t>ミズノ</t>
    </rPh>
    <phoneticPr fontId="1"/>
  </si>
  <si>
    <t>045-785-0411</t>
    <phoneticPr fontId="1"/>
  </si>
  <si>
    <t>0003</t>
    <phoneticPr fontId="1"/>
  </si>
  <si>
    <t>西東京ケミックス　植野様扱い</t>
    <rPh sb="0" eb="3">
      <t>ニシトウキョウ</t>
    </rPh>
    <rPh sb="9" eb="11">
      <t>ウエノ</t>
    </rPh>
    <rPh sb="11" eb="12">
      <t>サマ</t>
    </rPh>
    <rPh sb="12" eb="13">
      <t>アツカ</t>
    </rPh>
    <phoneticPr fontId="1"/>
  </si>
  <si>
    <t>IDK06</t>
  </si>
  <si>
    <t>日本通運㈱中部空港支店</t>
    <rPh sb="0" eb="5">
      <t>ニホンツウウンカブ</t>
    </rPh>
    <rPh sb="5" eb="7">
      <t>チュウブ</t>
    </rPh>
    <rPh sb="7" eb="9">
      <t>クウコウ</t>
    </rPh>
    <rPh sb="9" eb="11">
      <t>シテン</t>
    </rPh>
    <phoneticPr fontId="1"/>
  </si>
  <si>
    <t>水野</t>
    <rPh sb="0" eb="2">
      <t>ミズノ</t>
    </rPh>
    <phoneticPr fontId="1"/>
  </si>
  <si>
    <t>0569-38-2272</t>
    <phoneticPr fontId="1"/>
  </si>
  <si>
    <t>0881</t>
    <phoneticPr fontId="1"/>
  </si>
  <si>
    <t>豊通ケミプラス 安冨様扱い/インド</t>
    <rPh sb="0" eb="2">
      <t>トヨツウ</t>
    </rPh>
    <rPh sb="8" eb="10">
      <t>ヤストミ</t>
    </rPh>
    <rPh sb="10" eb="11">
      <t>サマ</t>
    </rPh>
    <rPh sb="11" eb="12">
      <t>アツカ</t>
    </rPh>
    <phoneticPr fontId="1"/>
  </si>
  <si>
    <t>USF02</t>
  </si>
  <si>
    <t>WUS02</t>
    <phoneticPr fontId="1"/>
  </si>
  <si>
    <t>武漢ｽﾀﾝﾚｰ</t>
    <rPh sb="0" eb="2">
      <t>ブカン</t>
    </rPh>
    <phoneticPr fontId="1"/>
  </si>
  <si>
    <t>PKO01</t>
    <phoneticPr fontId="1"/>
  </si>
  <si>
    <t>豊田通商/ﾊﾟｷｽﾀﾝ ｵﾋﾞﾄﾛﾆｸｽ</t>
    <rPh sb="0" eb="4">
      <t>トヨタツウショウ</t>
    </rPh>
    <phoneticPr fontId="1"/>
  </si>
  <si>
    <t>THT01</t>
    <phoneticPr fontId="1"/>
  </si>
  <si>
    <t>TKTT</t>
    <phoneticPr fontId="1"/>
  </si>
  <si>
    <t>INS15</t>
  </si>
  <si>
    <t>INK11</t>
  </si>
  <si>
    <t>㈱阪急阪神エクスプレス</t>
    <rPh sb="1" eb="3">
      <t>ハンキュウ</t>
    </rPh>
    <rPh sb="3" eb="5">
      <t>ハンシン</t>
    </rPh>
    <phoneticPr fontId="1"/>
  </si>
  <si>
    <t>0479-78-8490</t>
    <phoneticPr fontId="1"/>
  </si>
  <si>
    <t>1601</t>
    <phoneticPr fontId="1"/>
  </si>
  <si>
    <t>GZS09</t>
  </si>
  <si>
    <t>築港　名古屋</t>
  </si>
  <si>
    <t>TAD12</t>
  </si>
  <si>
    <t>西鉄物流 梱包センター</t>
    <rPh sb="0" eb="2">
      <t>ニシテツ</t>
    </rPh>
    <rPh sb="2" eb="4">
      <t>ブツリュウ</t>
    </rPh>
    <rPh sb="5" eb="7">
      <t>コンポウ</t>
    </rPh>
    <phoneticPr fontId="1"/>
  </si>
  <si>
    <t>USF03</t>
    <phoneticPr fontId="1"/>
  </si>
  <si>
    <t>朝日森運輸</t>
    <phoneticPr fontId="12"/>
  </si>
  <si>
    <t>0479-77-3324</t>
  </si>
  <si>
    <t>北米/ﾌｧﾃｯｸ(長瀬産業様扱い)</t>
    <rPh sb="0" eb="2">
      <t>ホクベイ</t>
    </rPh>
    <rPh sb="9" eb="11">
      <t>ナガセ</t>
    </rPh>
    <rPh sb="11" eb="13">
      <t>サンギョウ</t>
    </rPh>
    <rPh sb="13" eb="14">
      <t>サマ</t>
    </rPh>
    <rPh sb="14" eb="15">
      <t>アツカ</t>
    </rPh>
    <phoneticPr fontId="1"/>
  </si>
  <si>
    <t>INN06</t>
  </si>
  <si>
    <t>0476-40-9771</t>
  </si>
  <si>
    <t>0825</t>
  </si>
  <si>
    <t>豊通ケミプラス㈱西島様扱い　　ＡＴＴ－Ｔ３７２ 佐藤様扱い</t>
    <rPh sb="0" eb="2">
      <t>トヨツウ</t>
    </rPh>
    <rPh sb="8" eb="11">
      <t>ニシジマサマ</t>
    </rPh>
    <rPh sb="11" eb="12">
      <t>アツカ</t>
    </rPh>
    <rPh sb="24" eb="28">
      <t>サトウサマアツカ</t>
    </rPh>
    <phoneticPr fontId="1"/>
  </si>
  <si>
    <t>052-584-3586</t>
    <phoneticPr fontId="1"/>
  </si>
  <si>
    <t>IDR01</t>
    <phoneticPr fontId="1"/>
  </si>
  <si>
    <t>インド/RINDER</t>
    <phoneticPr fontId="1"/>
  </si>
  <si>
    <t>名鉄観光サービス㈱</t>
    <rPh sb="0" eb="4">
      <t>メイテツカンコウ</t>
    </rPh>
    <phoneticPr fontId="1"/>
  </si>
  <si>
    <t>水野</t>
    <rPh sb="0" eb="2">
      <t>ミズノ</t>
    </rPh>
    <phoneticPr fontId="1"/>
  </si>
  <si>
    <t>0569-35-9711</t>
    <phoneticPr fontId="1"/>
  </si>
  <si>
    <t>0881</t>
    <phoneticPr fontId="1"/>
  </si>
  <si>
    <t>豊通ケミプラス　安冨様扱い/インド IDR-SAMPLE</t>
    <rPh sb="0" eb="2">
      <t>トヨツウ</t>
    </rPh>
    <rPh sb="8" eb="10">
      <t>ヤストミ</t>
    </rPh>
    <rPh sb="10" eb="11">
      <t>サマ</t>
    </rPh>
    <rPh sb="11" eb="12">
      <t>アツカ</t>
    </rPh>
    <phoneticPr fontId="1"/>
  </si>
  <si>
    <t>054-285-0155</t>
  </si>
  <si>
    <t>㈱タミヤ</t>
    <phoneticPr fontId="1"/>
  </si>
  <si>
    <t>8021</t>
    <phoneticPr fontId="1"/>
  </si>
  <si>
    <t>PHT03</t>
    <phoneticPr fontId="1"/>
  </si>
  <si>
    <t>PKO02</t>
  </si>
  <si>
    <t>豊通物流㈱名古屋港営業所</t>
    <rPh sb="0" eb="2">
      <t>トヨツウ</t>
    </rPh>
    <rPh sb="2" eb="4">
      <t>ブツリュウ</t>
    </rPh>
    <rPh sb="5" eb="8">
      <t>ナゴヤ</t>
    </rPh>
    <rPh sb="8" eb="9">
      <t>コウ</t>
    </rPh>
    <rPh sb="9" eb="12">
      <t>エイギョウショ</t>
    </rPh>
    <phoneticPr fontId="1"/>
  </si>
  <si>
    <t>水野</t>
    <rPh sb="0" eb="2">
      <t>ミズノ</t>
    </rPh>
    <phoneticPr fontId="1"/>
  </si>
  <si>
    <t>0567-55-1866</t>
    <phoneticPr fontId="1"/>
  </si>
  <si>
    <t>1446</t>
    <phoneticPr fontId="1"/>
  </si>
  <si>
    <t>PKO03</t>
  </si>
  <si>
    <t>名港海運㈱空見梱包センター</t>
    <rPh sb="0" eb="4">
      <t>メイコウカイウン</t>
    </rPh>
    <rPh sb="5" eb="7">
      <t>ソラミ</t>
    </rPh>
    <rPh sb="7" eb="9">
      <t>コンポウ</t>
    </rPh>
    <phoneticPr fontId="1"/>
  </si>
  <si>
    <t>水野</t>
    <rPh sb="0" eb="2">
      <t>ミズノ</t>
    </rPh>
    <phoneticPr fontId="1"/>
  </si>
  <si>
    <t>052-398-1495</t>
    <phoneticPr fontId="1"/>
  </si>
  <si>
    <t>0847</t>
    <phoneticPr fontId="1"/>
  </si>
  <si>
    <t>様</t>
    <rPh sb="0" eb="1">
      <t>サマ</t>
    </rPh>
    <phoneticPr fontId="1"/>
  </si>
  <si>
    <t>品番注意</t>
    <rPh sb="0" eb="2">
      <t>ヒンバン</t>
    </rPh>
    <rPh sb="2" eb="4">
      <t>チュウイ</t>
    </rPh>
    <phoneticPr fontId="1"/>
  </si>
  <si>
    <t>容器変更・向け先</t>
    <rPh sb="0" eb="2">
      <t>ヨウキ</t>
    </rPh>
    <rPh sb="2" eb="4">
      <t>ヘンコウ</t>
    </rPh>
    <rPh sb="5" eb="6">
      <t>ム</t>
    </rPh>
    <rPh sb="7" eb="8">
      <t>サキ</t>
    </rPh>
    <phoneticPr fontId="1"/>
  </si>
  <si>
    <t xml:space="preserve">豊通ケミプラス㈱　西島様扱い　　ＡＴＴ－Ｔ３７２ </t>
    <rPh sb="0" eb="1">
      <t>トヨ</t>
    </rPh>
    <rPh sb="1" eb="2">
      <t>ツウ</t>
    </rPh>
    <rPh sb="9" eb="11">
      <t>ニシジマ</t>
    </rPh>
    <rPh sb="11" eb="12">
      <t>サマ</t>
    </rPh>
    <rPh sb="12" eb="13">
      <t>アツカ</t>
    </rPh>
    <phoneticPr fontId="1"/>
  </si>
  <si>
    <t>稲本　様</t>
    <rPh sb="0" eb="2">
      <t>イナモト</t>
    </rPh>
    <rPh sb="3" eb="4">
      <t>サマ</t>
    </rPh>
    <phoneticPr fontId="1"/>
  </si>
  <si>
    <t>坂野　様</t>
    <rPh sb="0" eb="2">
      <t>バンノ</t>
    </rPh>
    <rPh sb="3" eb="4">
      <t>サマ</t>
    </rPh>
    <phoneticPr fontId="1"/>
  </si>
  <si>
    <t>PKO04</t>
  </si>
  <si>
    <t>USF04</t>
  </si>
  <si>
    <t>「長瀬産業/EXGO」</t>
    <rPh sb="1" eb="3">
      <t>ナガセ</t>
    </rPh>
    <rPh sb="3" eb="5">
      <t>サンギョウ</t>
    </rPh>
    <phoneticPr fontId="1"/>
  </si>
  <si>
    <t>「長瀬産業/EXGO」 小木様宛</t>
    <rPh sb="1" eb="3">
      <t>ナガセ</t>
    </rPh>
    <rPh sb="3" eb="5">
      <t>サンギョウ</t>
    </rPh>
    <rPh sb="12" eb="13">
      <t>コ</t>
    </rPh>
    <rPh sb="13" eb="14">
      <t>キ</t>
    </rPh>
    <rPh sb="14" eb="15">
      <t>サマ</t>
    </rPh>
    <rPh sb="15" eb="16">
      <t>アテ</t>
    </rPh>
    <phoneticPr fontId="1"/>
  </si>
  <si>
    <t>「長瀬産業様扱い」 小木様宛</t>
    <rPh sb="1" eb="3">
      <t>ナガセ</t>
    </rPh>
    <rPh sb="3" eb="5">
      <t>サンギョウ</t>
    </rPh>
    <rPh sb="5" eb="6">
      <t>サマ</t>
    </rPh>
    <rPh sb="6" eb="7">
      <t>アツカ</t>
    </rPh>
    <rPh sb="10" eb="11">
      <t>コ</t>
    </rPh>
    <rPh sb="11" eb="12">
      <t>キ</t>
    </rPh>
    <rPh sb="12" eb="13">
      <t>サマ</t>
    </rPh>
    <rPh sb="13" eb="14">
      <t>アテ</t>
    </rPh>
    <phoneticPr fontId="1"/>
  </si>
  <si>
    <t>「NH2-N005 長瀬産業様扱い」</t>
    <rPh sb="10" eb="12">
      <t>ナガセ</t>
    </rPh>
    <rPh sb="12" eb="14">
      <t>サンギョウ</t>
    </rPh>
    <rPh sb="14" eb="15">
      <t>サマ</t>
    </rPh>
    <rPh sb="15" eb="16">
      <t>アツカ</t>
    </rPh>
    <phoneticPr fontId="1"/>
  </si>
  <si>
    <t>「長瀬産業様扱い」</t>
    <rPh sb="1" eb="3">
      <t>ナガセ</t>
    </rPh>
    <rPh sb="3" eb="5">
      <t>サンギョウ</t>
    </rPh>
    <rPh sb="5" eb="6">
      <t>サマ</t>
    </rPh>
    <rPh sb="6" eb="7">
      <t>アツカ</t>
    </rPh>
    <phoneticPr fontId="1"/>
  </si>
  <si>
    <t>荷主：長瀬産業、西鉄・日本橋営業所扱」</t>
    <rPh sb="0" eb="2">
      <t>ニヌシ</t>
    </rPh>
    <rPh sb="3" eb="7">
      <t>ナガセサンギョウ</t>
    </rPh>
    <rPh sb="8" eb="10">
      <t>ニシテツ</t>
    </rPh>
    <rPh sb="11" eb="17">
      <t>ニホンバシエイギョウショ</t>
    </rPh>
    <rPh sb="17" eb="18">
      <t>アツカイ</t>
    </rPh>
    <phoneticPr fontId="1"/>
  </si>
  <si>
    <t>豊通ケミプラス㈱西島様扱い　　名古屋営業所 熊野様扱い</t>
    <rPh sb="0" eb="2">
      <t>トヨミチ</t>
    </rPh>
    <rPh sb="8" eb="11">
      <t>ニシジマサマ</t>
    </rPh>
    <rPh sb="11" eb="12">
      <t>アツカ</t>
    </rPh>
    <rPh sb="15" eb="21">
      <t>ナゴヤエイギョウショ</t>
    </rPh>
    <rPh sb="22" eb="26">
      <t>クマノサマアツカ</t>
    </rPh>
    <phoneticPr fontId="1"/>
  </si>
  <si>
    <t>～</t>
    <phoneticPr fontId="1"/>
  </si>
  <si>
    <t>GZS10</t>
  </si>
  <si>
    <t>西鉄　成田梱包営業所</t>
    <rPh sb="0" eb="2">
      <t>ニシテツ</t>
    </rPh>
    <rPh sb="3" eb="5">
      <t>ナリタ</t>
    </rPh>
    <rPh sb="5" eb="7">
      <t>コンポウ</t>
    </rPh>
    <rPh sb="7" eb="10">
      <t>エイギョウショ</t>
    </rPh>
    <phoneticPr fontId="1"/>
  </si>
  <si>
    <t>0479-78-0551</t>
    <phoneticPr fontId="1"/>
  </si>
  <si>
    <t>1602</t>
  </si>
  <si>
    <t>「長瀬産業/西鉄日本橋営業所扱い」</t>
    <phoneticPr fontId="1"/>
  </si>
  <si>
    <t>IDK07</t>
  </si>
  <si>
    <t>上海(旧 上海小糸)</t>
    <rPh sb="0" eb="2">
      <t>シャンハイ</t>
    </rPh>
    <rPh sb="3" eb="4">
      <t>キュウ</t>
    </rPh>
    <rPh sb="5" eb="9">
      <t>シャンハイコイト</t>
    </rPh>
    <phoneticPr fontId="1"/>
  </si>
  <si>
    <t>0567-55-2633</t>
  </si>
  <si>
    <t>PHH01</t>
    <phoneticPr fontId="1"/>
  </si>
  <si>
    <t>ﾌｨﾘﾋﾟﾝﾍﾗｰ</t>
    <phoneticPr fontId="1"/>
  </si>
  <si>
    <t>KBK基材システム部１課依頼分　矢吹海運様扱い</t>
    <rPh sb="3" eb="5">
      <t>キザイ</t>
    </rPh>
    <rPh sb="9" eb="10">
      <t>ブ</t>
    </rPh>
    <rPh sb="11" eb="12">
      <t>カ</t>
    </rPh>
    <rPh sb="12" eb="14">
      <t>イライ</t>
    </rPh>
    <rPh sb="14" eb="15">
      <t>ブン</t>
    </rPh>
    <rPh sb="16" eb="18">
      <t>ヤブキ</t>
    </rPh>
    <rPh sb="18" eb="20">
      <t>カイウン</t>
    </rPh>
    <rPh sb="20" eb="21">
      <t>サマ</t>
    </rPh>
    <rPh sb="21" eb="22">
      <t>アツカ</t>
    </rPh>
    <phoneticPr fontId="1"/>
  </si>
  <si>
    <t>SU-100 HNV Ｂ</t>
    <phoneticPr fontId="1"/>
  </si>
  <si>
    <t>SU-100 HNV B</t>
    <phoneticPr fontId="1"/>
  </si>
  <si>
    <t>SU-100 HNV A</t>
    <phoneticPr fontId="1"/>
  </si>
  <si>
    <t>ATEジャパン　引き取りの場合</t>
    <phoneticPr fontId="12"/>
  </si>
  <si>
    <t>赤帽</t>
    <rPh sb="0" eb="2">
      <t>アカボウ</t>
    </rPh>
    <phoneticPr fontId="12"/>
  </si>
  <si>
    <t>ドライバーさんに渡す　⇒　荷受住所、社名、電話番号、弊社送り状</t>
    <rPh sb="8" eb="9">
      <t>ワタ</t>
    </rPh>
    <rPh sb="13" eb="15">
      <t>ニウケ</t>
    </rPh>
    <rPh sb="15" eb="17">
      <t>ジュウショ</t>
    </rPh>
    <rPh sb="18" eb="20">
      <t>シャメイ</t>
    </rPh>
    <rPh sb="21" eb="23">
      <t>デンワ</t>
    </rPh>
    <rPh sb="23" eb="25">
      <t>バンゴウ</t>
    </rPh>
    <rPh sb="26" eb="29">
      <t>ヘイシャオク</t>
    </rPh>
    <rPh sb="30" eb="31">
      <t>ジョウ</t>
    </rPh>
    <phoneticPr fontId="12"/>
  </si>
  <si>
    <t>弊社送り状の受領書に荷受人サインを願いする。受領書は郵送でもOK</t>
    <rPh sb="0" eb="2">
      <t>ヘイシャ</t>
    </rPh>
    <rPh sb="2" eb="3">
      <t>オク</t>
    </rPh>
    <rPh sb="4" eb="5">
      <t>ジョウ</t>
    </rPh>
    <rPh sb="6" eb="8">
      <t>ジュリョウ</t>
    </rPh>
    <rPh sb="8" eb="9">
      <t>ショ</t>
    </rPh>
    <rPh sb="10" eb="13">
      <t>ニウケニン</t>
    </rPh>
    <rPh sb="17" eb="18">
      <t>ネガ</t>
    </rPh>
    <rPh sb="22" eb="24">
      <t>ジュリョウ</t>
    </rPh>
    <rPh sb="24" eb="25">
      <t>ショ</t>
    </rPh>
    <rPh sb="26" eb="28">
      <t>ユウソウ</t>
    </rPh>
    <phoneticPr fontId="12"/>
  </si>
  <si>
    <t>その他　引き取りの場合 (お客様手配)</t>
    <rPh sb="2" eb="3">
      <t>タ</t>
    </rPh>
    <rPh sb="14" eb="16">
      <t>キャクサマ</t>
    </rPh>
    <rPh sb="16" eb="18">
      <t>テハイ</t>
    </rPh>
    <phoneticPr fontId="12"/>
  </si>
  <si>
    <t>ドライバーさんに渡す　⇒　なし</t>
    <rPh sb="8" eb="9">
      <t>ワタ</t>
    </rPh>
    <phoneticPr fontId="12"/>
  </si>
  <si>
    <t>弊社送り状の受領書にドライバーサインをもらう</t>
    <rPh sb="0" eb="2">
      <t>ヘイシャ</t>
    </rPh>
    <rPh sb="2" eb="3">
      <t>オク</t>
    </rPh>
    <rPh sb="4" eb="5">
      <t>ジョウ</t>
    </rPh>
    <rPh sb="6" eb="8">
      <t>ジュリョウ</t>
    </rPh>
    <rPh sb="8" eb="9">
      <t>ショ</t>
    </rPh>
    <phoneticPr fontId="12"/>
  </si>
  <si>
    <t>PHH02</t>
  </si>
  <si>
    <t>0567-55-1522</t>
    <phoneticPr fontId="1"/>
  </si>
  <si>
    <t>1444</t>
    <phoneticPr fontId="1"/>
  </si>
  <si>
    <t>※SU-100ＨＮＶ Ｂ　【黒文字】　【背景　白】</t>
    <phoneticPr fontId="1"/>
  </si>
  <si>
    <t>土気工場　引き取り　　</t>
    <rPh sb="0" eb="2">
      <t>トケ</t>
    </rPh>
    <rPh sb="2" eb="4">
      <t>コウジョウ</t>
    </rPh>
    <rPh sb="5" eb="6">
      <t>ヒ</t>
    </rPh>
    <rPh sb="7" eb="8">
      <t>ト</t>
    </rPh>
    <phoneticPr fontId="1"/>
  </si>
  <si>
    <t>・弊社送り状を、ドライバーさんに渡す　</t>
  </si>
  <si>
    <t>・出荷実績照会にドライバーさんのサインをもらう</t>
  </si>
  <si>
    <t>豊通ケミプラス㈱安冨様扱い</t>
    <rPh sb="0" eb="2">
      <t>トヨミチ</t>
    </rPh>
    <rPh sb="8" eb="10">
      <t>ヤストミ</t>
    </rPh>
    <rPh sb="10" eb="11">
      <t>サマ</t>
    </rPh>
    <rPh sb="11" eb="12">
      <t>アツカ</t>
    </rPh>
    <phoneticPr fontId="1"/>
  </si>
  <si>
    <t>名古屋支店白鳥様扱い　豊通ケミプラス㈱安冨様扱い</t>
    <rPh sb="0" eb="3">
      <t>ナゴヤ</t>
    </rPh>
    <rPh sb="3" eb="5">
      <t>シテン</t>
    </rPh>
    <rPh sb="5" eb="7">
      <t>シラトリ</t>
    </rPh>
    <rPh sb="7" eb="8">
      <t>サマ</t>
    </rPh>
    <rPh sb="8" eb="9">
      <t>アツカ</t>
    </rPh>
    <rPh sb="11" eb="12">
      <t>トヨ</t>
    </rPh>
    <rPh sb="12" eb="13">
      <t>ツウ</t>
    </rPh>
    <rPh sb="19" eb="22">
      <t>ヤストミサマ</t>
    </rPh>
    <rPh sb="22" eb="23">
      <t>アツカ</t>
    </rPh>
    <phoneticPr fontId="1"/>
  </si>
  <si>
    <t>GZK07</t>
  </si>
  <si>
    <t>日本通運㈱　中部空港支店</t>
    <rPh sb="0" eb="2">
      <t>ニホン</t>
    </rPh>
    <rPh sb="2" eb="4">
      <t>ツウウン</t>
    </rPh>
    <rPh sb="6" eb="8">
      <t>チュウブ</t>
    </rPh>
    <rPh sb="8" eb="10">
      <t>クウコウ</t>
    </rPh>
    <rPh sb="10" eb="12">
      <t>シテン</t>
    </rPh>
    <phoneticPr fontId="1"/>
  </si>
  <si>
    <t>水野</t>
    <rPh sb="0" eb="2">
      <t>ミズノ</t>
    </rPh>
    <phoneticPr fontId="1"/>
  </si>
  <si>
    <t>0569-38-2272</t>
    <phoneticPr fontId="1"/>
  </si>
  <si>
    <t>0881</t>
    <phoneticPr fontId="1"/>
  </si>
  <si>
    <t>山崎様（鈴与扱い)</t>
    <rPh sb="0" eb="3">
      <t>ヤマザキサマ</t>
    </rPh>
    <rPh sb="4" eb="7">
      <t>スズヨアツカ</t>
    </rPh>
    <phoneticPr fontId="1"/>
  </si>
  <si>
    <t>坂野様</t>
    <rPh sb="0" eb="3">
      <t>バンノサマ</t>
    </rPh>
    <phoneticPr fontId="1"/>
  </si>
  <si>
    <t>　　『長瀬産業様扱い　　FG00402  上海向け』</t>
    <rPh sb="3" eb="5">
      <t>ナガセ</t>
    </rPh>
    <rPh sb="5" eb="7">
      <t>サンギョウ</t>
    </rPh>
    <rPh sb="7" eb="8">
      <t>サマ</t>
    </rPh>
    <rPh sb="8" eb="9">
      <t>アツカ</t>
    </rPh>
    <rPh sb="21" eb="24">
      <t>シャンハイム</t>
    </rPh>
    <phoneticPr fontId="1"/>
  </si>
  <si>
    <t>坂野様</t>
    <rPh sb="0" eb="3">
      <t>バンノサマ</t>
    </rPh>
    <phoneticPr fontId="1"/>
  </si>
  <si>
    <t>　</t>
    <phoneticPr fontId="1"/>
  </si>
  <si>
    <t>J70800739.CSV</t>
  </si>
  <si>
    <t>受注ＮＯ</t>
  </si>
  <si>
    <t>得意先注文ＮＯ</t>
  </si>
  <si>
    <t>得意先コード</t>
  </si>
  <si>
    <t>得意先名称１</t>
  </si>
  <si>
    <t>得意先名称２</t>
  </si>
  <si>
    <t>納入先コード</t>
  </si>
  <si>
    <t>納入先名称１</t>
  </si>
  <si>
    <t>納入先名称２</t>
  </si>
  <si>
    <t>納入先住所１</t>
  </si>
  <si>
    <t>納入先住所２</t>
  </si>
  <si>
    <t>納入先電話番号</t>
  </si>
  <si>
    <t>品番</t>
  </si>
  <si>
    <t>出荷予定日</t>
  </si>
  <si>
    <t>受注個数</t>
  </si>
  <si>
    <t>受注数量</t>
  </si>
  <si>
    <t>備考</t>
  </si>
  <si>
    <t>J708000739</t>
  </si>
  <si>
    <t>タミヤ様分</t>
  </si>
  <si>
    <t>伊坂化成株式会社　藤枝</t>
  </si>
  <si>
    <t>アオキトランス㈱興津ターミナル事務所</t>
  </si>
  <si>
    <t>静岡市清水区興津清見寺１３７５－１６</t>
  </si>
  <si>
    <t>054-369-6666</t>
  </si>
  <si>
    <t>S1-FPA3-U-EX</t>
  </si>
  <si>
    <t>ＦＰＡ－３ (UN/16KG)</t>
  </si>
  <si>
    <t>8/7納期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</si>
</sst>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###&quot;年&quot;##&quot;月&quot;##&quot;日&quot;"/>
    <numFmt numFmtId="177" formatCode="yyyy&quot;年&quot;m&quot;月&quot;d&quot;日&quot;;@"/>
    <numFmt numFmtId="178" formatCode="m&quot;月&quot;d&quot;日&quot;;@"/>
    <numFmt numFmtId="179" formatCode="0;;;@"/>
  </numFmts>
  <fonts count="2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18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20"/>
      <color theme="0"/>
      <name val="ＭＳ Ｐゴシック"/>
      <family val="3"/>
      <charset val="128"/>
    </font>
    <font>
      <b/>
      <sz val="12"/>
      <color theme="0"/>
      <name val="ＭＳ Ｐゴシック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11"/>
      <color rgb="FF3F3F3F"/>
      <name val="ＭＳ Ｐゴシック"/>
      <family val="3"/>
      <charset val="128"/>
      <scheme val="minor"/>
    </font>
    <font>
      <b/>
      <sz val="2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4"/>
      <color rgb="FF00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19" fillId="6" borderId="74" applyNumberFormat="0" applyAlignment="0" applyProtection="0">
      <alignment vertical="center"/>
    </xf>
  </cellStyleXfs>
  <cellXfs count="47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2" xfId="0" applyFont="1" applyBorder="1">
      <alignment vertical="center"/>
    </xf>
    <xf numFmtId="0" fontId="2" fillId="0" borderId="10" xfId="0" applyFont="1" applyBorder="1">
      <alignment vertical="center"/>
    </xf>
    <xf numFmtId="176" fontId="4" fillId="0" borderId="1" xfId="0" applyNumberFormat="1" applyFont="1" applyBorder="1" applyAlignment="1">
      <alignment vertical="center"/>
    </xf>
    <xf numFmtId="176" fontId="4" fillId="0" borderId="2" xfId="0" applyNumberFormat="1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0" xfId="0" applyFont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4" fillId="0" borderId="0" xfId="0" applyFont="1" applyFill="1">
      <alignment vertical="center"/>
    </xf>
    <xf numFmtId="0" fontId="4" fillId="0" borderId="4" xfId="0" applyFont="1" applyFill="1" applyBorder="1">
      <alignment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>
      <alignment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4" xfId="0" applyFont="1" applyBorder="1">
      <alignment vertical="center"/>
    </xf>
    <xf numFmtId="0" fontId="0" fillId="0" borderId="4" xfId="0" applyBorder="1" applyAlignment="1">
      <alignment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16" xfId="0" applyFont="1" applyBorder="1" applyAlignment="1">
      <alignment horizontal="center" vertical="center"/>
    </xf>
    <xf numFmtId="0" fontId="3" fillId="0" borderId="17" xfId="0" applyFont="1" applyBorder="1">
      <alignment vertical="center"/>
    </xf>
    <xf numFmtId="0" fontId="4" fillId="0" borderId="10" xfId="0" applyFont="1" applyBorder="1">
      <alignment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  <xf numFmtId="49" fontId="0" fillId="0" borderId="0" xfId="0" applyNumberFormat="1" applyAlignment="1">
      <alignment vertical="center"/>
    </xf>
    <xf numFmtId="0" fontId="0" fillId="0" borderId="0" xfId="0" applyBorder="1">
      <alignment vertical="center"/>
    </xf>
    <xf numFmtId="0" fontId="8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Border="1" applyAlignment="1">
      <alignment vertical="center"/>
    </xf>
    <xf numFmtId="0" fontId="0" fillId="0" borderId="19" xfId="0" applyBorder="1">
      <alignment vertical="center"/>
    </xf>
    <xf numFmtId="0" fontId="0" fillId="0" borderId="3" xfId="0" applyBorder="1" applyAlignment="1">
      <alignment horizontal="center" vertical="center"/>
    </xf>
    <xf numFmtId="0" fontId="7" fillId="0" borderId="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2" fillId="0" borderId="20" xfId="0" applyFont="1" applyBorder="1">
      <alignment vertical="center"/>
    </xf>
    <xf numFmtId="0" fontId="9" fillId="0" borderId="0" xfId="0" applyFont="1">
      <alignment vertical="center"/>
    </xf>
    <xf numFmtId="0" fontId="4" fillId="0" borderId="4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20" xfId="0" applyFont="1" applyFill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0" fillId="4" borderId="0" xfId="0" applyFont="1" applyFill="1">
      <alignment vertical="center"/>
    </xf>
    <xf numFmtId="49" fontId="0" fillId="4" borderId="0" xfId="0" applyNumberFormat="1" applyFill="1">
      <alignment vertical="center"/>
    </xf>
    <xf numFmtId="0" fontId="11" fillId="0" borderId="0" xfId="0" applyFont="1">
      <alignment vertical="center"/>
    </xf>
    <xf numFmtId="0" fontId="3" fillId="0" borderId="3" xfId="0" applyFont="1" applyBorder="1">
      <alignment vertical="center"/>
    </xf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6" xfId="0" applyFont="1" applyBorder="1" applyAlignment="1">
      <alignment vertical="center"/>
    </xf>
    <xf numFmtId="0" fontId="0" fillId="0" borderId="5" xfId="0" applyFont="1" applyBorder="1" applyAlignment="1">
      <alignment wrapText="1"/>
    </xf>
    <xf numFmtId="0" fontId="13" fillId="0" borderId="63" xfId="0" applyFont="1" applyBorder="1">
      <alignment vertical="center"/>
    </xf>
    <xf numFmtId="0" fontId="13" fillId="0" borderId="61" xfId="0" applyFont="1" applyBorder="1">
      <alignment vertical="center"/>
    </xf>
    <xf numFmtId="0" fontId="13" fillId="0" borderId="62" xfId="0" applyFont="1" applyBorder="1">
      <alignment vertical="center"/>
    </xf>
    <xf numFmtId="0" fontId="14" fillId="0" borderId="10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13" fillId="0" borderId="19" xfId="0" applyFont="1" applyBorder="1">
      <alignment vertical="center"/>
    </xf>
    <xf numFmtId="0" fontId="13" fillId="0" borderId="64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30" xfId="0" applyFont="1" applyFill="1" applyBorder="1" applyAlignment="1">
      <alignment vertical="center"/>
    </xf>
    <xf numFmtId="0" fontId="4" fillId="0" borderId="29" xfId="0" applyFont="1" applyFill="1" applyBorder="1" applyAlignment="1">
      <alignment vertical="center"/>
    </xf>
    <xf numFmtId="0" fontId="4" fillId="0" borderId="37" xfId="0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46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66" xfId="0" applyFont="1" applyBorder="1" applyAlignment="1">
      <alignment vertical="center"/>
    </xf>
    <xf numFmtId="0" fontId="2" fillId="0" borderId="7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0" fillId="0" borderId="5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17" fillId="0" borderId="0" xfId="0" applyFont="1" applyFill="1" applyAlignment="1">
      <alignment vertical="center"/>
    </xf>
    <xf numFmtId="0" fontId="18" fillId="5" borderId="0" xfId="0" applyFont="1" applyFill="1" applyAlignment="1">
      <alignment vertical="center"/>
    </xf>
    <xf numFmtId="0" fontId="18" fillId="0" borderId="0" xfId="0" applyFont="1" applyFill="1">
      <alignment vertical="center"/>
    </xf>
    <xf numFmtId="0" fontId="19" fillId="6" borderId="74" xfId="1">
      <alignment vertical="center"/>
    </xf>
    <xf numFmtId="0" fontId="19" fillId="0" borderId="75" xfId="1" applyFill="1" applyBorder="1">
      <alignment vertical="center"/>
    </xf>
    <xf numFmtId="0" fontId="0" fillId="0" borderId="0" xfId="0" applyFill="1" applyBorder="1">
      <alignment vertical="center"/>
    </xf>
    <xf numFmtId="0" fontId="0" fillId="0" borderId="55" xfId="0" applyBorder="1">
      <alignment vertical="center"/>
    </xf>
    <xf numFmtId="0" fontId="20" fillId="0" borderId="0" xfId="1" applyFont="1" applyFill="1" applyBorder="1" applyAlignment="1">
      <alignment horizontal="center" vertical="center"/>
    </xf>
    <xf numFmtId="0" fontId="19" fillId="0" borderId="0" xfId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2" fillId="7" borderId="2" xfId="0" applyFont="1" applyFill="1" applyBorder="1" applyAlignment="1">
      <alignment vertical="center"/>
    </xf>
    <xf numFmtId="179" fontId="2" fillId="0" borderId="5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24" fillId="0" borderId="0" xfId="0" applyFont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79" fontId="2" fillId="0" borderId="6" xfId="0" applyNumberFormat="1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76" fontId="4" fillId="0" borderId="26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15" fillId="0" borderId="68" xfId="0" applyFont="1" applyBorder="1" applyAlignment="1">
      <alignment horizontal="left" vertical="top"/>
    </xf>
    <xf numFmtId="0" fontId="15" fillId="0" borderId="16" xfId="0" applyFont="1" applyBorder="1" applyAlignment="1">
      <alignment horizontal="left" vertical="top"/>
    </xf>
    <xf numFmtId="0" fontId="3" fillId="0" borderId="1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4" fillId="0" borderId="65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15" fillId="0" borderId="37" xfId="0" applyFont="1" applyBorder="1" applyAlignment="1">
      <alignment horizontal="left" vertical="top"/>
    </xf>
    <xf numFmtId="0" fontId="4" fillId="0" borderId="19" xfId="0" applyFont="1" applyBorder="1" applyAlignment="1">
      <alignment vertical="center" wrapText="1"/>
    </xf>
    <xf numFmtId="0" fontId="4" fillId="0" borderId="27" xfId="0" applyFont="1" applyBorder="1" applyAlignment="1">
      <alignment vertical="center" wrapText="1"/>
    </xf>
    <xf numFmtId="0" fontId="4" fillId="0" borderId="65" xfId="0" applyFon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5" xfId="0" applyFont="1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0" fontId="0" fillId="0" borderId="4" xfId="0" applyFont="1" applyBorder="1" applyAlignment="1">
      <alignment horizontal="right" wrapText="1"/>
    </xf>
    <xf numFmtId="0" fontId="0" fillId="0" borderId="5" xfId="0" applyFont="1" applyBorder="1" applyAlignment="1">
      <alignment horizontal="right" wrapText="1"/>
    </xf>
    <xf numFmtId="0" fontId="4" fillId="0" borderId="54" xfId="0" applyFont="1" applyBorder="1" applyAlignment="1">
      <alignment vertical="center"/>
    </xf>
    <xf numFmtId="0" fontId="4" fillId="0" borderId="55" xfId="0" applyFont="1" applyBorder="1" applyAlignment="1">
      <alignment vertical="center"/>
    </xf>
    <xf numFmtId="0" fontId="4" fillId="0" borderId="56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22" xfId="0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0" fillId="0" borderId="36" xfId="0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8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4" fillId="0" borderId="4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53" xfId="0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176" fontId="4" fillId="0" borderId="21" xfId="0" applyNumberFormat="1" applyFont="1" applyBorder="1" applyAlignment="1">
      <alignment vertical="center"/>
    </xf>
    <xf numFmtId="0" fontId="4" fillId="0" borderId="42" xfId="0" applyFont="1" applyBorder="1" applyAlignment="1">
      <alignment horizontal="center" vertical="center"/>
    </xf>
    <xf numFmtId="0" fontId="0" fillId="0" borderId="43" xfId="0" applyBorder="1" applyAlignment="1">
      <alignment vertical="center"/>
    </xf>
    <xf numFmtId="0" fontId="4" fillId="0" borderId="21" xfId="0" applyFont="1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4" fillId="0" borderId="4" xfId="0" applyFont="1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176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8" fontId="4" fillId="0" borderId="4" xfId="0" applyNumberFormat="1" applyFont="1" applyFill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179" fontId="4" fillId="0" borderId="5" xfId="0" applyNumberFormat="1" applyFont="1" applyBorder="1" applyAlignment="1">
      <alignment horizontal="left" vertical="center"/>
    </xf>
    <xf numFmtId="179" fontId="4" fillId="0" borderId="6" xfId="0" applyNumberFormat="1" applyFont="1" applyBorder="1" applyAlignment="1">
      <alignment horizontal="left" vertical="center"/>
    </xf>
    <xf numFmtId="0" fontId="3" fillId="0" borderId="70" xfId="0" applyFont="1" applyBorder="1" applyAlignment="1">
      <alignment horizontal="center" vertical="center"/>
    </xf>
    <xf numFmtId="0" fontId="4" fillId="0" borderId="50" xfId="0" applyFont="1" applyBorder="1" applyAlignment="1">
      <alignment horizontal="left" vertical="center"/>
    </xf>
    <xf numFmtId="0" fontId="4" fillId="0" borderId="46" xfId="0" applyFont="1" applyBorder="1" applyAlignment="1">
      <alignment horizontal="left" vertical="center"/>
    </xf>
    <xf numFmtId="0" fontId="16" fillId="0" borderId="16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0" fontId="4" fillId="0" borderId="29" xfId="0" applyFont="1" applyBorder="1" applyAlignment="1">
      <alignment vertical="center"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vertical="center"/>
    </xf>
    <xf numFmtId="176" fontId="4" fillId="0" borderId="22" xfId="0" applyNumberFormat="1" applyFont="1" applyBorder="1" applyAlignment="1">
      <alignment vertical="center"/>
    </xf>
    <xf numFmtId="0" fontId="4" fillId="0" borderId="21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56" fontId="4" fillId="0" borderId="4" xfId="0" applyNumberFormat="1" applyFont="1" applyFill="1" applyBorder="1" applyAlignment="1">
      <alignment horizontal="right" vertical="center"/>
    </xf>
    <xf numFmtId="0" fontId="0" fillId="0" borderId="5" xfId="0" applyNumberFormat="1" applyBorder="1" applyAlignment="1">
      <alignment horizontal="right" vertical="center"/>
    </xf>
    <xf numFmtId="0" fontId="0" fillId="0" borderId="6" xfId="0" applyNumberFormat="1" applyBorder="1" applyAlignment="1">
      <alignment horizontal="right" vertical="center"/>
    </xf>
    <xf numFmtId="0" fontId="0" fillId="0" borderId="4" xfId="0" applyFont="1" applyBorder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1" xfId="0" applyFont="1" applyBorder="1" applyAlignment="1">
      <alignment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76" fontId="0" fillId="0" borderId="26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9" xfId="0" applyBorder="1" applyAlignment="1">
      <alignment vertical="center"/>
    </xf>
    <xf numFmtId="0" fontId="6" fillId="0" borderId="2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1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178" fontId="4" fillId="0" borderId="5" xfId="0" applyNumberFormat="1" applyFont="1" applyFill="1" applyBorder="1" applyAlignment="1">
      <alignment horizontal="right" vertical="center"/>
    </xf>
    <xf numFmtId="178" fontId="4" fillId="0" borderId="6" xfId="0" applyNumberFormat="1" applyFont="1" applyFill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3" fillId="0" borderId="50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0" fontId="4" fillId="0" borderId="50" xfId="0" applyFont="1" applyBorder="1" applyAlignment="1">
      <alignment horizontal="center" vertical="center"/>
    </xf>
    <xf numFmtId="0" fontId="4" fillId="0" borderId="50" xfId="0" applyFont="1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60" xfId="0" applyBorder="1" applyAlignment="1">
      <alignment vertical="center"/>
    </xf>
    <xf numFmtId="0" fontId="4" fillId="0" borderId="47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65" xfId="0" applyFont="1" applyBorder="1" applyAlignment="1">
      <alignment horizontal="left" vertical="center"/>
    </xf>
    <xf numFmtId="0" fontId="0" fillId="0" borderId="29" xfId="0" applyFont="1" applyBorder="1" applyAlignment="1">
      <alignment horizontal="left" vertical="center"/>
    </xf>
    <xf numFmtId="179" fontId="0" fillId="0" borderId="5" xfId="0" applyNumberFormat="1" applyFont="1" applyBorder="1" applyAlignment="1">
      <alignment horizontal="left" vertical="center"/>
    </xf>
    <xf numFmtId="179" fontId="0" fillId="0" borderId="6" xfId="0" applyNumberFormat="1" applyFont="1" applyBorder="1" applyAlignment="1">
      <alignment horizontal="left" vertical="center"/>
    </xf>
    <xf numFmtId="0" fontId="6" fillId="0" borderId="45" xfId="0" applyFont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0" fontId="4" fillId="0" borderId="44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1" fillId="7" borderId="15" xfId="0" applyFont="1" applyFill="1" applyBorder="1" applyAlignment="1">
      <alignment horizontal="center" vertical="center"/>
    </xf>
    <xf numFmtId="0" fontId="21" fillId="7" borderId="37" xfId="0" applyFont="1" applyFill="1" applyBorder="1" applyAlignment="1">
      <alignment horizontal="center" vertical="center"/>
    </xf>
    <xf numFmtId="0" fontId="21" fillId="7" borderId="28" xfId="0" applyFont="1" applyFill="1" applyBorder="1" applyAlignment="1">
      <alignment horizontal="center" vertical="center"/>
    </xf>
    <xf numFmtId="0" fontId="21" fillId="7" borderId="29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top"/>
    </xf>
    <xf numFmtId="0" fontId="4" fillId="0" borderId="27" xfId="0" applyFont="1" applyBorder="1" applyAlignment="1">
      <alignment horizontal="left" vertical="top"/>
    </xf>
    <xf numFmtId="0" fontId="4" fillId="0" borderId="50" xfId="0" applyFont="1" applyBorder="1" applyAlignment="1">
      <alignment horizontal="left" vertical="top"/>
    </xf>
    <xf numFmtId="0" fontId="4" fillId="0" borderId="46" xfId="0" applyFont="1" applyBorder="1" applyAlignment="1">
      <alignment horizontal="left" vertical="top"/>
    </xf>
    <xf numFmtId="0" fontId="3" fillId="0" borderId="7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30" xfId="0" applyFont="1" applyBorder="1" applyAlignment="1">
      <alignment horizontal="left" vertical="center"/>
    </xf>
    <xf numFmtId="0" fontId="0" fillId="0" borderId="19" xfId="0" applyFont="1" applyBorder="1" applyAlignment="1">
      <alignment vertical="center" wrapText="1"/>
    </xf>
    <xf numFmtId="0" fontId="0" fillId="0" borderId="27" xfId="0" applyFont="1" applyBorder="1" applyAlignment="1">
      <alignment vertical="center" wrapText="1"/>
    </xf>
    <xf numFmtId="0" fontId="6" fillId="0" borderId="45" xfId="0" applyFont="1" applyFill="1" applyBorder="1" applyAlignment="1">
      <alignment horizontal="center" vertical="center"/>
    </xf>
    <xf numFmtId="176" fontId="4" fillId="0" borderId="28" xfId="0" applyNumberFormat="1" applyFont="1" applyBorder="1" applyAlignment="1">
      <alignment vertical="center"/>
    </xf>
    <xf numFmtId="0" fontId="6" fillId="0" borderId="20" xfId="0" applyFont="1" applyFill="1" applyBorder="1" applyAlignment="1">
      <alignment vertical="center"/>
    </xf>
    <xf numFmtId="0" fontId="4" fillId="0" borderId="41" xfId="0" applyFont="1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vertical="center"/>
    </xf>
    <xf numFmtId="176" fontId="4" fillId="0" borderId="42" xfId="0" applyNumberFormat="1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43" xfId="0" applyFont="1" applyBorder="1" applyAlignment="1">
      <alignment vertical="center"/>
    </xf>
    <xf numFmtId="0" fontId="4" fillId="0" borderId="73" xfId="0" applyFont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176" fontId="4" fillId="0" borderId="18" xfId="0" applyNumberFormat="1" applyFont="1" applyBorder="1" applyAlignment="1">
      <alignment vertical="center"/>
    </xf>
    <xf numFmtId="176" fontId="4" fillId="0" borderId="43" xfId="0" applyNumberFormat="1" applyFont="1" applyBorder="1" applyAlignment="1">
      <alignment vertical="center"/>
    </xf>
    <xf numFmtId="176" fontId="4" fillId="0" borderId="30" xfId="0" applyNumberFormat="1" applyFont="1" applyBorder="1" applyAlignment="1">
      <alignment vertical="center"/>
    </xf>
    <xf numFmtId="176" fontId="4" fillId="0" borderId="29" xfId="0" applyNumberFormat="1" applyFont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4" fillId="0" borderId="25" xfId="0" applyFont="1" applyFill="1" applyBorder="1" applyAlignment="1">
      <alignment vertical="center"/>
    </xf>
    <xf numFmtId="0" fontId="5" fillId="0" borderId="50" xfId="0" applyFont="1" applyBorder="1" applyAlignment="1">
      <alignment vertical="center"/>
    </xf>
    <xf numFmtId="0" fontId="5" fillId="0" borderId="60" xfId="0" applyFont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20" xfId="0" applyFont="1" applyFill="1" applyBorder="1" applyAlignment="1">
      <alignment vertical="center"/>
    </xf>
    <xf numFmtId="179" fontId="4" fillId="0" borderId="4" xfId="0" applyNumberFormat="1" applyFont="1" applyBorder="1" applyAlignment="1">
      <alignment vertical="center"/>
    </xf>
    <xf numFmtId="179" fontId="4" fillId="0" borderId="5" xfId="0" applyNumberFormat="1" applyFont="1" applyBorder="1" applyAlignment="1">
      <alignment vertical="center"/>
    </xf>
    <xf numFmtId="179" fontId="4" fillId="0" borderId="6" xfId="0" applyNumberFormat="1" applyFont="1" applyBorder="1" applyAlignment="1">
      <alignment vertical="center"/>
    </xf>
    <xf numFmtId="179" fontId="4" fillId="0" borderId="33" xfId="0" applyNumberFormat="1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23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  <xf numFmtId="176" fontId="4" fillId="0" borderId="33" xfId="0" applyNumberFormat="1" applyFont="1" applyBorder="1" applyAlignment="1">
      <alignment horizontal="center" vertical="center"/>
    </xf>
    <xf numFmtId="177" fontId="4" fillId="0" borderId="4" xfId="0" applyNumberFormat="1" applyFont="1" applyFill="1" applyBorder="1" applyAlignment="1">
      <alignment vertical="center"/>
    </xf>
    <xf numFmtId="177" fontId="4" fillId="0" borderId="5" xfId="0" applyNumberFormat="1" applyFont="1" applyFill="1" applyBorder="1" applyAlignment="1">
      <alignment vertical="center"/>
    </xf>
    <xf numFmtId="177" fontId="4" fillId="0" borderId="6" xfId="0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2" fillId="0" borderId="20" xfId="0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60" xfId="0" applyFont="1" applyBorder="1" applyAlignment="1">
      <alignment horizontal="center" vertical="center"/>
    </xf>
    <xf numFmtId="0" fontId="4" fillId="0" borderId="60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0" fillId="0" borderId="33" xfId="0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77" fontId="4" fillId="0" borderId="4" xfId="0" applyNumberFormat="1" applyFont="1" applyFill="1" applyBorder="1" applyAlignment="1">
      <alignment horizontal="right" vertical="center"/>
    </xf>
    <xf numFmtId="0" fontId="0" fillId="0" borderId="46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44" xfId="0" applyFont="1" applyFill="1" applyBorder="1" applyAlignment="1">
      <alignment vertical="center"/>
    </xf>
    <xf numFmtId="0" fontId="4" fillId="0" borderId="45" xfId="0" applyFont="1" applyFill="1" applyBorder="1" applyAlignment="1">
      <alignment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5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3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176" fontId="0" fillId="0" borderId="52" xfId="0" applyNumberFormat="1" applyBorder="1" applyAlignment="1">
      <alignment vertical="center"/>
    </xf>
    <xf numFmtId="0" fontId="2" fillId="0" borderId="5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37" xfId="0" applyFont="1" applyBorder="1" applyAlignment="1">
      <alignment horizontal="left" vertical="center"/>
    </xf>
    <xf numFmtId="0" fontId="0" fillId="0" borderId="26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27" xfId="0" applyFont="1" applyBorder="1" applyAlignment="1">
      <alignment horizontal="left" vertical="center"/>
    </xf>
    <xf numFmtId="179" fontId="2" fillId="0" borderId="4" xfId="0" applyNumberFormat="1" applyFont="1" applyBorder="1" applyAlignment="1">
      <alignment horizontal="center" vertical="center"/>
    </xf>
    <xf numFmtId="179" fontId="2" fillId="0" borderId="5" xfId="0" applyNumberFormat="1" applyFont="1" applyBorder="1" applyAlignment="1">
      <alignment horizontal="center" vertical="center"/>
    </xf>
    <xf numFmtId="179" fontId="2" fillId="0" borderId="6" xfId="0" applyNumberFormat="1" applyFont="1" applyBorder="1" applyAlignment="1">
      <alignment horizontal="center" vertical="center"/>
    </xf>
    <xf numFmtId="0" fontId="0" fillId="0" borderId="28" xfId="0" applyFont="1" applyBorder="1" applyAlignment="1">
      <alignment horizontal="left" vertical="center"/>
    </xf>
    <xf numFmtId="0" fontId="0" fillId="0" borderId="44" xfId="0" applyFont="1" applyBorder="1" applyAlignment="1">
      <alignment horizontal="left" vertical="center"/>
    </xf>
    <xf numFmtId="0" fontId="0" fillId="0" borderId="45" xfId="0" applyFont="1" applyBorder="1" applyAlignment="1">
      <alignment horizontal="left" vertical="center"/>
    </xf>
    <xf numFmtId="0" fontId="0" fillId="0" borderId="46" xfId="0" applyFont="1" applyBorder="1" applyAlignment="1">
      <alignment horizontal="left" vertical="center"/>
    </xf>
    <xf numFmtId="0" fontId="2" fillId="0" borderId="60" xfId="0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/>
    </xf>
    <xf numFmtId="0" fontId="19" fillId="6" borderId="76" xfId="1" applyBorder="1" applyAlignment="1">
      <alignment horizontal="center" vertical="center"/>
    </xf>
    <xf numFmtId="0" fontId="19" fillId="6" borderId="77" xfId="1" applyBorder="1" applyAlignment="1">
      <alignment horizontal="center" vertical="center"/>
    </xf>
    <xf numFmtId="0" fontId="19" fillId="6" borderId="78" xfId="1" applyBorder="1" applyAlignment="1">
      <alignment horizontal="center" vertical="center"/>
    </xf>
    <xf numFmtId="0" fontId="19" fillId="6" borderId="79" xfId="1" applyBorder="1" applyAlignment="1">
      <alignment horizontal="center" vertical="center"/>
    </xf>
    <xf numFmtId="0" fontId="19" fillId="6" borderId="80" xfId="1" applyBorder="1" applyAlignment="1">
      <alignment horizontal="center" vertical="center"/>
    </xf>
  </cellXfs>
  <cellStyles count="2">
    <cellStyle name="出力" xfId="1" builtinId="21"/>
    <cellStyle name="標準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34</xdr:row>
      <xdr:rowOff>38100</xdr:rowOff>
    </xdr:from>
    <xdr:to>
      <xdr:col>7</xdr:col>
      <xdr:colOff>314325</xdr:colOff>
      <xdr:row>35</xdr:row>
      <xdr:rowOff>152400</xdr:rowOff>
    </xdr:to>
    <xdr:sp macro="" textlink="">
      <xdr:nvSpPr>
        <xdr:cNvPr id="2" name="テキスト ボックス 1"/>
        <xdr:cNvSpPr txBox="1"/>
      </xdr:nvSpPr>
      <xdr:spPr>
        <a:xfrm>
          <a:off x="3429000" y="8391525"/>
          <a:ext cx="2533650" cy="295275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 i="0">
              <a:latin typeface="游ゴシック Light" panose="020B0300000000000000" pitchFamily="50" charset="-128"/>
              <a:ea typeface="游ゴシック Light" panose="020B0300000000000000" pitchFamily="50" charset="-128"/>
            </a:rPr>
            <a:t>出荷時、送り状を</a:t>
          </a:r>
          <a:r>
            <a:rPr kumimoji="1" lang="en-US" altLang="ja-JP" sz="1400" b="1" i="0">
              <a:latin typeface="游ゴシック Light" panose="020B0300000000000000" pitchFamily="50" charset="-128"/>
              <a:ea typeface="游ゴシック Light" panose="020B0300000000000000" pitchFamily="50" charset="-128"/>
            </a:rPr>
            <a:t>FAX</a:t>
          </a:r>
          <a:r>
            <a:rPr kumimoji="1" lang="ja-JP" altLang="en-US" sz="1400" b="1" i="0">
              <a:latin typeface="游ゴシック Light" panose="020B0300000000000000" pitchFamily="50" charset="-128"/>
              <a:ea typeface="游ゴシック Light" panose="020B0300000000000000" pitchFamily="50" charset="-128"/>
            </a:rPr>
            <a:t>する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1238249</xdr:colOff>
      <xdr:row>18</xdr:row>
      <xdr:rowOff>123825</xdr:rowOff>
    </xdr:from>
    <xdr:to>
      <xdr:col>10</xdr:col>
      <xdr:colOff>152399</xdr:colOff>
      <xdr:row>26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2114549" y="5676900"/>
          <a:ext cx="4314825" cy="1400175"/>
        </a:xfrm>
        <a:prstGeom prst="rect">
          <a:avLst/>
        </a:prstGeom>
        <a:solidFill>
          <a:sysClr val="window" lastClr="FFFFFF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・弊社送り状を、ドライバーさんに渡す　</a:t>
          </a:r>
          <a:endParaRPr lang="en-US" altLang="ja-JP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ja-JP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・出荷実績照会にドライバーさんのサインをもらう</a:t>
          </a:r>
          <a:endParaRPr lang="en-US" altLang="ja-JP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38101</xdr:colOff>
      <xdr:row>26</xdr:row>
      <xdr:rowOff>133350</xdr:rowOff>
    </xdr:from>
    <xdr:to>
      <xdr:col>10</xdr:col>
      <xdr:colOff>95251</xdr:colOff>
      <xdr:row>33</xdr:row>
      <xdr:rowOff>190499</xdr:rowOff>
    </xdr:to>
    <xdr:sp macro="" textlink="">
      <xdr:nvSpPr>
        <xdr:cNvPr id="3" name="テキスト ボックス 2"/>
        <xdr:cNvSpPr txBox="1"/>
      </xdr:nvSpPr>
      <xdr:spPr>
        <a:xfrm>
          <a:off x="3457576" y="7210425"/>
          <a:ext cx="2914650" cy="1371599"/>
        </a:xfrm>
        <a:prstGeom prst="rect">
          <a:avLst/>
        </a:prstGeom>
        <a:solidFill>
          <a:sysClr val="window" lastClr="FFFFFF"/>
        </a:solidFill>
        <a:ln w="12700" cmpd="sng">
          <a:solidFill>
            <a:sysClr val="windowText" lastClr="000000"/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中村さん、永谷さん</a:t>
          </a:r>
          <a:endParaRPr kumimoji="0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お疲れさまです。</a:t>
          </a:r>
          <a:endParaRPr kumimoji="0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不明な点がございましたら、お電話ください。</a:t>
          </a:r>
          <a:endParaRPr kumimoji="0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よろしくお願いいたします。</a:t>
          </a:r>
          <a:endParaRPr kumimoji="0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　　　　　　　　　　　　　　　　　　　　　　　松戸</a:t>
          </a:r>
          <a:endParaRPr kumimoji="0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1924050</xdr:colOff>
      <xdr:row>167</xdr:row>
      <xdr:rowOff>19050</xdr:rowOff>
    </xdr:from>
    <xdr:to>
      <xdr:col>8</xdr:col>
      <xdr:colOff>1285875</xdr:colOff>
      <xdr:row>169</xdr:row>
      <xdr:rowOff>133350</xdr:rowOff>
    </xdr:to>
    <xdr:sp macro="" textlink="">
      <xdr:nvSpPr>
        <xdr:cNvPr id="3" name="テキスト ボックス 2"/>
        <xdr:cNvSpPr txBox="1"/>
      </xdr:nvSpPr>
      <xdr:spPr>
        <a:xfrm>
          <a:off x="12134850" y="26422350"/>
          <a:ext cx="30003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/>
            <a:t>名古屋輸出・神谷様扱い</a:t>
          </a:r>
          <a:r>
            <a:rPr kumimoji="1" lang="en-US" altLang="ja-JP" sz="1050"/>
            <a:t>(℡:</a:t>
          </a:r>
          <a:r>
            <a:rPr kumimoji="1" lang="en-US" altLang="ja-JP" sz="1000"/>
            <a:t>052-584-5676</a:t>
          </a:r>
          <a:r>
            <a:rPr kumimoji="1" lang="ja-JP" altLang="en-US" sz="1050"/>
            <a:t>）</a:t>
          </a:r>
          <a:endParaRPr kumimoji="1" lang="en-US" altLang="ja-JP" sz="1050"/>
        </a:p>
        <a:p>
          <a:r>
            <a:rPr kumimoji="1" lang="ja-JP" altLang="en-US" sz="1050"/>
            <a:t>輸出者名</a:t>
          </a:r>
          <a:r>
            <a:rPr kumimoji="1" lang="en-US" altLang="ja-JP" sz="1050"/>
            <a:t>:</a:t>
          </a:r>
          <a:r>
            <a:rPr kumimoji="1" lang="ja-JP" altLang="en-US" sz="1050"/>
            <a:t>豊通ｹﾐﾌﾟﾗｽ㈱（</a:t>
          </a:r>
          <a:r>
            <a:rPr kumimoji="1" lang="en-US" altLang="ja-JP" sz="1050"/>
            <a:t>SHPR CODE:30233438)</a:t>
          </a:r>
          <a:endParaRPr kumimoji="1" lang="ja-JP" altLang="en-US" sz="105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237152</xdr:colOff>
      <xdr:row>39</xdr:row>
      <xdr:rowOff>113458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80952" cy="673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yoserver4\&#20849;&#26377;\&#35069;&#36896;&#35506;&#65420;&#65387;&#65433;&#65408;&#65438;\&#26494;&#25144;\&#20986;&#33655;&#26126;&#32048;&#26360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貼り付け"/>
      <sheetName val="缶Ｎo無"/>
      <sheetName val="豊通"/>
      <sheetName val="豊通 (船便THI)"/>
      <sheetName val="豊通(AIR)"/>
      <sheetName val="伊坂長城"/>
      <sheetName val="伊坂(タミヤ)"/>
      <sheetName val="極東"/>
      <sheetName val="セニー"/>
      <sheetName val="納入先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35">
          <cell r="A135" t="str">
            <v>ALS01</v>
          </cell>
          <cell r="B135" t="str">
            <v>アラバマ三立</v>
          </cell>
          <cell r="C135" t="str">
            <v>ケースマーク　セニー扱い/１パレ　UN1263/指定パレ　OVER PACK/指定パレ</v>
          </cell>
          <cell r="D135" t="str">
            <v>水野</v>
          </cell>
          <cell r="E135" t="str">
            <v>045-785-0221</v>
          </cell>
          <cell r="F135">
            <v>236</v>
          </cell>
          <cell r="G135" t="str">
            <v>0003</v>
          </cell>
        </row>
        <row r="136">
          <cell r="A136" t="str">
            <v>CHS01</v>
          </cell>
          <cell r="B136" t="str">
            <v>中国　BEIJINN SAMLIP</v>
          </cell>
          <cell r="C136" t="str">
            <v>ケースマーク　セニー扱い/１パレ　UN1263/指定パレ　OVER PACK/指定パレ</v>
          </cell>
          <cell r="D136" t="str">
            <v>水野</v>
          </cell>
          <cell r="E136" t="str">
            <v>045-785-0314</v>
          </cell>
          <cell r="F136">
            <v>236</v>
          </cell>
          <cell r="G136" t="str">
            <v>0003</v>
          </cell>
        </row>
        <row r="137">
          <cell r="A137" t="str">
            <v>KOK01</v>
          </cell>
          <cell r="B137" t="str">
            <v>KEUM KANG 塗料工業</v>
          </cell>
          <cell r="D137" t="str">
            <v>水野</v>
          </cell>
        </row>
        <row r="138">
          <cell r="A138" t="str">
            <v>KOS01</v>
          </cell>
          <cell r="B138" t="str">
            <v>韓国(SL CORP)</v>
          </cell>
          <cell r="C138" t="str">
            <v>ケースマーク　セニー扱い/１パレ　UN1263/指定パレ　OVER PACK/指定パレ</v>
          </cell>
          <cell r="D138" t="str">
            <v>水野</v>
          </cell>
          <cell r="E138" t="str">
            <v>045-785-0014</v>
          </cell>
          <cell r="F138">
            <v>236</v>
          </cell>
          <cell r="G138" t="str">
            <v>0003</v>
          </cell>
        </row>
        <row r="139">
          <cell r="A139" t="str">
            <v>KOS02</v>
          </cell>
          <cell r="B139" t="str">
            <v>韓国(SL CORP)</v>
          </cell>
          <cell r="C139" t="str">
            <v>ケースマーク　セニー扱い/１パレ　UN1263/指定パレ　OVER PACK/指定パレ</v>
          </cell>
          <cell r="D139" t="str">
            <v>水野</v>
          </cell>
          <cell r="E139" t="str">
            <v>06-6612-3371</v>
          </cell>
          <cell r="F139">
            <v>559</v>
          </cell>
          <cell r="G139" t="str">
            <v>0000</v>
          </cell>
        </row>
        <row r="140">
          <cell r="A140" t="str">
            <v>KOS03</v>
          </cell>
          <cell r="B140" t="str">
            <v>韓国(SL CORP)</v>
          </cell>
          <cell r="C140" t="str">
            <v>ケースマーク　セニー扱い/１パレ　UN1263/指定パレ　OVER PACK/指定パレ</v>
          </cell>
          <cell r="D140" t="str">
            <v>水野</v>
          </cell>
        </row>
        <row r="141">
          <cell r="A141" t="str">
            <v>KOS04</v>
          </cell>
          <cell r="B141" t="str">
            <v>韓国(SL CORP)</v>
          </cell>
          <cell r="C141" t="str">
            <v>ケースマーク　セニー扱い/１パレ　UN1263/指定パレ　OVER PACK/指定パレ</v>
          </cell>
          <cell r="D141" t="str">
            <v>水野</v>
          </cell>
        </row>
        <row r="142">
          <cell r="A142" t="str">
            <v>KOS05</v>
          </cell>
          <cell r="B142" t="str">
            <v>韓国(SL CORP)</v>
          </cell>
          <cell r="C142" t="str">
            <v>ケースマーク　セニー扱い/１パレ　UN1263/指定パレ　OVER PACK/指定パレ</v>
          </cell>
          <cell r="D142" t="str">
            <v>水野</v>
          </cell>
          <cell r="E142" t="str">
            <v>045-785-0314</v>
          </cell>
          <cell r="F142">
            <v>236</v>
          </cell>
          <cell r="G142" t="str">
            <v>0003</v>
          </cell>
        </row>
        <row r="143">
          <cell r="A143" t="str">
            <v>KOS06</v>
          </cell>
          <cell r="B143" t="str">
            <v>韓国(SL CORP)</v>
          </cell>
          <cell r="D143" t="str">
            <v>水野</v>
          </cell>
          <cell r="E143" t="str">
            <v>0479-70-8580</v>
          </cell>
          <cell r="F143">
            <v>289</v>
          </cell>
          <cell r="G143" t="str">
            <v>1608</v>
          </cell>
        </row>
        <row r="144">
          <cell r="A144" t="str">
            <v>KOS07</v>
          </cell>
          <cell r="B144" t="str">
            <v>韓国(SL CORP)</v>
          </cell>
          <cell r="D144" t="str">
            <v>水野</v>
          </cell>
          <cell r="E144" t="str">
            <v>045-785-0411</v>
          </cell>
          <cell r="F144">
            <v>236</v>
          </cell>
          <cell r="G144" t="str">
            <v>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1"/>
  <sheetViews>
    <sheetView workbookViewId="0"/>
  </sheetViews>
  <sheetFormatPr defaultRowHeight="13.5" x14ac:dyDescent="0.15"/>
  <sheetData>
    <row r="1" spans="1:1" ht="18.75" x14ac:dyDescent="0.15">
      <c r="A1" s="64" t="s">
        <v>298</v>
      </c>
    </row>
    <row r="3" spans="1:1" x14ac:dyDescent="0.15">
      <c r="A3" t="s">
        <v>299</v>
      </c>
    </row>
    <row r="4" spans="1:1" x14ac:dyDescent="0.15">
      <c r="A4" t="s">
        <v>300</v>
      </c>
    </row>
    <row r="6" spans="1:1" x14ac:dyDescent="0.15">
      <c r="A6" t="s">
        <v>301</v>
      </c>
    </row>
    <row r="7" spans="1:1" x14ac:dyDescent="0.15">
      <c r="A7" t="s">
        <v>302</v>
      </c>
    </row>
    <row r="9" spans="1:1" x14ac:dyDescent="0.15">
      <c r="A9" t="s">
        <v>303</v>
      </c>
    </row>
    <row r="10" spans="1:1" x14ac:dyDescent="0.15">
      <c r="A10" t="s">
        <v>304</v>
      </c>
    </row>
    <row r="11" spans="1:1" x14ac:dyDescent="0.15">
      <c r="A11" t="s">
        <v>305</v>
      </c>
    </row>
  </sheetData>
  <phoneticPr fontId="1"/>
  <pageMargins left="0.78700000000000003" right="0.78700000000000003" top="0.98399999999999999" bottom="0.98399999999999999" header="0.51200000000000001" footer="0.5120000000000000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27"/>
  <sheetViews>
    <sheetView workbookViewId="0">
      <selection sqref="A1:K1"/>
    </sheetView>
  </sheetViews>
  <sheetFormatPr defaultRowHeight="13.5" x14ac:dyDescent="0.15"/>
  <cols>
    <col min="1" max="1" width="14.375" customWidth="1"/>
    <col min="2" max="2" width="17.875" customWidth="1"/>
    <col min="3" max="3" width="8.625" customWidth="1"/>
    <col min="5" max="5" width="8.875" customWidth="1"/>
    <col min="6" max="6" width="6.25" customWidth="1"/>
    <col min="7" max="7" width="7.375" customWidth="1"/>
    <col min="8" max="8" width="4.25" customWidth="1"/>
    <col min="9" max="9" width="4.125" customWidth="1"/>
    <col min="10" max="10" width="3.25" customWidth="1"/>
    <col min="11" max="11" width="4" customWidth="1"/>
  </cols>
  <sheetData>
    <row r="1" spans="1:14" ht="30" customHeight="1" thickBot="1" x14ac:dyDescent="0.2">
      <c r="A1" s="355" t="s">
        <v>67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</row>
    <row r="2" spans="1:14" ht="30" customHeight="1" x14ac:dyDescent="0.15">
      <c r="A2" s="54" t="s">
        <v>4</v>
      </c>
      <c r="B2" s="356">
        <f>貼り付け!B3</f>
        <v>20170802</v>
      </c>
      <c r="C2" s="281" t="s">
        <v>3</v>
      </c>
      <c r="D2" s="263" t="s">
        <v>3</v>
      </c>
      <c r="E2" s="211"/>
      <c r="F2" s="234" t="str">
        <f>貼り付け!A3</f>
        <v>J708000739</v>
      </c>
      <c r="G2" s="235"/>
      <c r="H2" s="235"/>
      <c r="I2" s="235"/>
      <c r="J2" s="235"/>
      <c r="K2" s="236"/>
    </row>
    <row r="3" spans="1:14" ht="30" customHeight="1" x14ac:dyDescent="0.15">
      <c r="A3" s="20" t="s">
        <v>62</v>
      </c>
      <c r="B3" s="222" t="str">
        <f>IF(ISNA(VLOOKUP(B4,納入先名,4,FALSE)),"",VLOOKUP(B4,納入先名,4,FALSE))</f>
        <v>水野</v>
      </c>
      <c r="C3" s="222"/>
      <c r="D3" s="242" t="s">
        <v>63</v>
      </c>
      <c r="E3" s="260"/>
      <c r="F3" s="222"/>
      <c r="G3" s="222"/>
      <c r="H3" s="222"/>
      <c r="I3" s="222"/>
      <c r="J3" s="222"/>
      <c r="K3" s="261"/>
    </row>
    <row r="4" spans="1:14" ht="30" customHeight="1" x14ac:dyDescent="0.15">
      <c r="A4" s="20" t="s">
        <v>1</v>
      </c>
      <c r="B4" s="237" t="str">
        <f>貼り付け!G3</f>
        <v>PHT01</v>
      </c>
      <c r="C4" s="238" t="str">
        <f>IF(ISNA(VLOOKUP(B4,納入先名!A1:B155,2,FALSE)),"",VLOOKUP(B4,納入先名!A1:B155,2,FALSE))</f>
        <v>フィリピンタミヤ</v>
      </c>
      <c r="D4" s="237" t="str">
        <f>IF(ISNA(VLOOKUP(B4,納入先名!$A$1:$B$129,2,FALSE)),"",VLOOKUP(B4,納入先名!$A$1:$B$129,2,FALSE))</f>
        <v>フィリピンタミヤ</v>
      </c>
      <c r="E4" s="264"/>
      <c r="F4" s="264"/>
      <c r="G4" s="264"/>
      <c r="H4" s="264"/>
      <c r="I4" s="264"/>
      <c r="J4" s="264"/>
      <c r="K4" s="265"/>
    </row>
    <row r="5" spans="1:14" ht="30" customHeight="1" x14ac:dyDescent="0.15">
      <c r="A5" s="20" t="s">
        <v>2</v>
      </c>
      <c r="B5" s="241">
        <f>貼り付け!P3</f>
        <v>20170804</v>
      </c>
      <c r="C5" s="238" t="s">
        <v>58</v>
      </c>
      <c r="D5" s="22" t="s">
        <v>58</v>
      </c>
      <c r="E5" s="266" t="str">
        <f>貼り付け!S3</f>
        <v>8/7納期</v>
      </c>
      <c r="F5" s="267"/>
      <c r="G5" s="267"/>
      <c r="H5" s="267"/>
      <c r="I5" s="267"/>
      <c r="J5" s="267"/>
      <c r="K5" s="268"/>
    </row>
    <row r="6" spans="1:14" ht="30" customHeight="1" x14ac:dyDescent="0.15">
      <c r="A6" s="20" t="s">
        <v>60</v>
      </c>
      <c r="B6" s="222"/>
      <c r="C6" s="222"/>
      <c r="D6" s="222"/>
      <c r="E6" s="222"/>
      <c r="F6" s="222"/>
      <c r="G6" s="222"/>
      <c r="H6" s="222"/>
      <c r="I6" s="222"/>
      <c r="J6" s="222"/>
      <c r="K6" s="261"/>
    </row>
    <row r="7" spans="1:14" ht="30" customHeight="1" x14ac:dyDescent="0.15">
      <c r="A7" s="20" t="s">
        <v>5</v>
      </c>
      <c r="B7" s="237" t="str">
        <f>貼り付け!C3</f>
        <v>タミヤ様分</v>
      </c>
      <c r="C7" s="259"/>
      <c r="D7" s="22" t="s">
        <v>59</v>
      </c>
      <c r="E7" s="237" t="str">
        <f>貼り付け!E3</f>
        <v>伊坂化成株式会社　藤枝</v>
      </c>
      <c r="F7" s="239"/>
      <c r="G7" s="239"/>
      <c r="H7" s="239"/>
      <c r="I7" s="239"/>
      <c r="J7" s="239"/>
      <c r="K7" s="240"/>
    </row>
    <row r="8" spans="1:14" ht="30" customHeight="1" x14ac:dyDescent="0.15">
      <c r="A8" s="20" t="s">
        <v>8</v>
      </c>
      <c r="B8" s="237" t="str">
        <f>貼り付け!H3&amp;"  "&amp;貼り付け!I3</f>
        <v xml:space="preserve">アオキトランス㈱興津ターミナル事務所  </v>
      </c>
      <c r="C8" s="264"/>
      <c r="D8" s="264"/>
      <c r="E8" s="264"/>
      <c r="F8" s="264"/>
      <c r="G8" s="264"/>
      <c r="H8" s="264"/>
      <c r="I8" s="264"/>
      <c r="J8" s="264"/>
      <c r="K8" s="265"/>
    </row>
    <row r="9" spans="1:14" ht="30" customHeight="1" x14ac:dyDescent="0.15">
      <c r="A9" s="214" t="s">
        <v>9</v>
      </c>
      <c r="B9" s="319" t="str">
        <f>貼り付け!J3</f>
        <v>静岡市清水区興津清見寺１３７５－１６</v>
      </c>
      <c r="C9" s="320"/>
      <c r="D9" s="320"/>
      <c r="E9" s="377"/>
      <c r="F9" s="22" t="s">
        <v>137</v>
      </c>
      <c r="G9" s="9">
        <f>IF(ISNA(VLOOKUP(B4,納入先名,6,FALSE)),"",VLOOKUP(B4,納入先名,6,FALSE))</f>
        <v>424</v>
      </c>
      <c r="H9" s="9" t="s">
        <v>138</v>
      </c>
      <c r="I9" s="264" t="str">
        <f>IF(ISNA(VLOOKUP(B4,納入先名,7,FALSE)),"",VLOOKUP(B4,納入先名,7,FALSE))</f>
        <v>0206</v>
      </c>
      <c r="J9" s="264"/>
      <c r="K9" s="265"/>
    </row>
    <row r="10" spans="1:14" ht="30" customHeight="1" thickBot="1" x14ac:dyDescent="0.2">
      <c r="A10" s="255" t="s">
        <v>65</v>
      </c>
      <c r="B10" s="329" t="str">
        <f>IF(貼り付け!K3="","",貼り付け!K3)</f>
        <v/>
      </c>
      <c r="C10" s="330"/>
      <c r="D10" s="330"/>
      <c r="E10" s="331"/>
      <c r="F10" s="53" t="s">
        <v>139</v>
      </c>
      <c r="G10" s="216" t="str">
        <f>貼り付け!L3</f>
        <v>054-369-6666</v>
      </c>
      <c r="H10" s="216"/>
      <c r="I10" s="216"/>
      <c r="J10" s="216"/>
      <c r="K10" s="217"/>
      <c r="M10" s="55"/>
      <c r="N10" s="55"/>
    </row>
    <row r="11" spans="1:14" ht="30" customHeight="1" thickBot="1" x14ac:dyDescent="0.2">
      <c r="A11" s="56"/>
      <c r="B11" s="11"/>
      <c r="C11" s="11"/>
      <c r="D11" s="11"/>
      <c r="E11" s="357" t="s">
        <v>144</v>
      </c>
      <c r="F11" s="357"/>
      <c r="G11" s="357"/>
      <c r="H11" s="357"/>
      <c r="I11" s="357"/>
      <c r="J11" s="357"/>
      <c r="K11" s="357"/>
      <c r="N11" s="55"/>
    </row>
    <row r="12" spans="1:14" ht="30" customHeight="1" x14ac:dyDescent="0.15">
      <c r="A12" s="365" t="s">
        <v>6</v>
      </c>
      <c r="B12" s="366"/>
      <c r="C12" s="48" t="s">
        <v>7</v>
      </c>
      <c r="D12" s="362" t="s">
        <v>10</v>
      </c>
      <c r="E12" s="367"/>
      <c r="F12" s="367"/>
      <c r="G12" s="210"/>
      <c r="H12" s="211"/>
      <c r="I12" s="362" t="s">
        <v>320</v>
      </c>
      <c r="J12" s="363"/>
      <c r="K12" s="364"/>
    </row>
    <row r="13" spans="1:14" ht="30" customHeight="1" x14ac:dyDescent="0.15">
      <c r="A13" s="358" t="str">
        <f>貼り付け!M3&amp;CHAR(10)&amp;IF(貼り付け!N3="","",貼り付け!N3)</f>
        <v>S1-FPA3-U-EX
ＦＰＡ－３ (UN/16KG)</v>
      </c>
      <c r="B13" s="359"/>
      <c r="C13" s="2">
        <f>IF(貼り付け!R3="","",貼り付け!R3)</f>
        <v>3</v>
      </c>
      <c r="D13" s="360"/>
      <c r="E13" s="361"/>
      <c r="F13" s="361"/>
      <c r="G13" s="238"/>
      <c r="H13" s="47"/>
      <c r="I13" s="12">
        <f>IF(C13="","",1)</f>
        <v>1</v>
      </c>
      <c r="J13" s="13" t="s">
        <v>140</v>
      </c>
      <c r="K13" s="14">
        <f>IF(OR(C13="",C13=1),"",C13)</f>
        <v>3</v>
      </c>
    </row>
    <row r="14" spans="1:14" ht="30" customHeight="1" x14ac:dyDescent="0.15">
      <c r="A14" s="358" t="str">
        <f>貼り付け!M4&amp;CHAR(10)&amp;IF(貼り付け!N4="","",貼り付け!N4)</f>
        <v xml:space="preserve">
</v>
      </c>
      <c r="B14" s="359"/>
      <c r="C14" s="2" t="str">
        <f>IF(貼り付け!R4="","",貼り付け!R4)</f>
        <v/>
      </c>
      <c r="D14" s="360"/>
      <c r="E14" s="361"/>
      <c r="F14" s="361"/>
      <c r="G14" s="238"/>
      <c r="H14" s="47"/>
      <c r="I14" s="12" t="str">
        <f>IF(C14="","",C13+1)</f>
        <v/>
      </c>
      <c r="J14" s="13" t="s">
        <v>140</v>
      </c>
      <c r="K14" s="14" t="str">
        <f>IF(OR(C14="",C14=1),"",C13+C14)</f>
        <v/>
      </c>
    </row>
    <row r="15" spans="1:14" ht="30" customHeight="1" x14ac:dyDescent="0.15">
      <c r="A15" s="358" t="str">
        <f>貼り付け!M5&amp;CHAR(10)&amp;IF(貼り付け!N5="","",貼り付け!N5)</f>
        <v xml:space="preserve">
</v>
      </c>
      <c r="B15" s="359"/>
      <c r="C15" s="2" t="str">
        <f>IF(貼り付け!R5="","",貼り付け!R5)</f>
        <v/>
      </c>
      <c r="D15" s="360"/>
      <c r="E15" s="361"/>
      <c r="F15" s="361"/>
      <c r="G15" s="238"/>
      <c r="H15" s="47"/>
      <c r="I15" s="12" t="str">
        <f>IF(C15="","",C13+C14+1)</f>
        <v/>
      </c>
      <c r="J15" s="13" t="s">
        <v>140</v>
      </c>
      <c r="K15" s="14" t="str">
        <f>IF(OR(C15="",C15=1),"",C13+C14+C15)</f>
        <v/>
      </c>
    </row>
    <row r="16" spans="1:14" ht="30" customHeight="1" x14ac:dyDescent="0.15">
      <c r="A16" s="358" t="str">
        <f>貼り付け!M6&amp;CHAR(10)&amp;IF(貼り付け!N6="","",貼り付け!N6)</f>
        <v xml:space="preserve">
</v>
      </c>
      <c r="B16" s="359"/>
      <c r="C16" s="2" t="str">
        <f>IF(貼り付け!R6="","",貼り付け!R6)</f>
        <v/>
      </c>
      <c r="D16" s="360"/>
      <c r="E16" s="361"/>
      <c r="F16" s="361"/>
      <c r="G16" s="238"/>
      <c r="H16" s="47"/>
      <c r="I16" s="12" t="str">
        <f>IF(C16="","",C13+C14+C15+1)</f>
        <v/>
      </c>
      <c r="J16" s="13" t="s">
        <v>140</v>
      </c>
      <c r="K16" s="14" t="str">
        <f>IF(OR(C16="",C16=1),"",C13+C14+C15+C16)</f>
        <v/>
      </c>
    </row>
    <row r="17" spans="1:11" ht="30" customHeight="1" x14ac:dyDescent="0.15">
      <c r="A17" s="358" t="str">
        <f>貼り付け!M7&amp;CHAR(10)&amp;IF(貼り付け!N7="","",貼り付け!N7)</f>
        <v xml:space="preserve">
</v>
      </c>
      <c r="B17" s="359"/>
      <c r="C17" s="2" t="str">
        <f>IF(貼り付け!R7="","",貼り付け!R7)</f>
        <v/>
      </c>
      <c r="D17" s="360"/>
      <c r="E17" s="361"/>
      <c r="F17" s="361"/>
      <c r="G17" s="238"/>
      <c r="H17" s="47"/>
      <c r="I17" s="12" t="str">
        <f>IF(C17="","",C13+C14+C15+C16+1)</f>
        <v/>
      </c>
      <c r="J17" s="13" t="s">
        <v>140</v>
      </c>
      <c r="K17" s="14" t="str">
        <f>IF(OR(C17="",C17=1),"",C13+C14+C15+C16+C17)</f>
        <v/>
      </c>
    </row>
    <row r="18" spans="1:11" ht="30" customHeight="1" x14ac:dyDescent="0.15">
      <c r="A18" s="358" t="str">
        <f>貼り付け!M8&amp;CHAR(10)&amp;IF(貼り付け!N8="","",貼り付け!N8)</f>
        <v xml:space="preserve">
</v>
      </c>
      <c r="B18" s="359"/>
      <c r="C18" s="2" t="str">
        <f>IF(貼り付け!R8="","",貼り付け!R8)</f>
        <v/>
      </c>
      <c r="D18" s="360"/>
      <c r="E18" s="361"/>
      <c r="F18" s="361"/>
      <c r="G18" s="238"/>
      <c r="H18" s="47"/>
      <c r="I18" s="12" t="str">
        <f>IF(C18="","",C13+C14+C15+C16+C17+1)</f>
        <v/>
      </c>
      <c r="J18" s="13" t="s">
        <v>140</v>
      </c>
      <c r="K18" s="14" t="str">
        <f>IF(OR(C18="",C18=1),"",C13+C14+C15+C16+C17+C18)</f>
        <v/>
      </c>
    </row>
    <row r="19" spans="1:11" ht="30" customHeight="1" x14ac:dyDescent="0.15">
      <c r="A19" s="358" t="str">
        <f>貼り付け!M9&amp;CHAR(10)&amp;IF(貼り付け!N9="","",貼り付け!N9)</f>
        <v xml:space="preserve">
</v>
      </c>
      <c r="B19" s="359"/>
      <c r="C19" s="2" t="str">
        <f>IF(貼り付け!R9="","",貼り付け!R9)</f>
        <v/>
      </c>
      <c r="D19" s="360"/>
      <c r="E19" s="361"/>
      <c r="F19" s="361"/>
      <c r="G19" s="238"/>
      <c r="H19" s="47"/>
      <c r="I19" s="12" t="str">
        <f>IF(C19="","",C13+C14+C15+C16+C17+C18+1)</f>
        <v/>
      </c>
      <c r="J19" s="13" t="s">
        <v>140</v>
      </c>
      <c r="K19" s="14" t="str">
        <f>IF(OR(C19="",C19=1),"",C13+C14+C15+C16+C17+C18+C19)</f>
        <v/>
      </c>
    </row>
    <row r="20" spans="1:11" ht="30" customHeight="1" x14ac:dyDescent="0.15">
      <c r="A20" s="358" t="str">
        <f>貼り付け!M10&amp;CHAR(10)&amp;IF(貼り付け!N10="","",貼り付け!N10)</f>
        <v xml:space="preserve">
</v>
      </c>
      <c r="B20" s="359"/>
      <c r="C20" s="2" t="str">
        <f>IF(貼り付け!R10="","",貼り付け!R10)</f>
        <v/>
      </c>
      <c r="D20" s="360"/>
      <c r="E20" s="361"/>
      <c r="F20" s="361"/>
      <c r="G20" s="238"/>
      <c r="H20" s="47"/>
      <c r="I20" s="12" t="str">
        <f>IF(C20="","",C13+C14+C15+C16+C17+C18+C19+1)</f>
        <v/>
      </c>
      <c r="J20" s="13" t="s">
        <v>140</v>
      </c>
      <c r="K20" s="14" t="str">
        <f>IF(OR(C20="",C20=1),"",C13+C14+C15+C16+C17+C18+C19+C20)</f>
        <v/>
      </c>
    </row>
    <row r="21" spans="1:11" ht="30" customHeight="1" x14ac:dyDescent="0.15">
      <c r="A21" s="358" t="str">
        <f>貼り付け!M11&amp;CHAR(10)&amp;IF(貼り付け!N11="","",貼り付け!N11)</f>
        <v xml:space="preserve">
</v>
      </c>
      <c r="B21" s="359"/>
      <c r="C21" s="2" t="str">
        <f>IF(貼り付け!R11="","",貼り付け!R11)</f>
        <v/>
      </c>
      <c r="D21" s="360"/>
      <c r="E21" s="361"/>
      <c r="F21" s="361"/>
      <c r="G21" s="238"/>
      <c r="H21" s="47"/>
      <c r="I21" s="12" t="str">
        <f>IF(C21="","",C13+C14+C15+C16+C17+C18+C19+C20+1)</f>
        <v/>
      </c>
      <c r="J21" s="13" t="s">
        <v>140</v>
      </c>
      <c r="K21" s="14" t="str">
        <f>IF(OR(C21="",C21=1),"",C13+C14+C15+C16+C17+C18+C19+C20+C21)</f>
        <v/>
      </c>
    </row>
    <row r="22" spans="1:11" ht="30" customHeight="1" x14ac:dyDescent="0.15">
      <c r="A22" s="358" t="str">
        <f>貼り付け!M12&amp;CHAR(10)&amp;IF(貼り付け!N12="","",貼り付け!N12)</f>
        <v xml:space="preserve">
</v>
      </c>
      <c r="B22" s="359"/>
      <c r="C22" s="2" t="str">
        <f>IF(貼り付け!R12="","",貼り付け!R12)</f>
        <v/>
      </c>
      <c r="D22" s="360"/>
      <c r="E22" s="361"/>
      <c r="F22" s="361"/>
      <c r="G22" s="238"/>
      <c r="H22" s="47"/>
      <c r="I22" s="12" t="str">
        <f>IF(C22="","",C13+C14+C15+C16+C17+C18+C19+C20+C21+1)</f>
        <v/>
      </c>
      <c r="J22" s="13" t="s">
        <v>140</v>
      </c>
      <c r="K22" s="14" t="str">
        <f>IF(OR(C22="",C22=1),"",C13+C14+C15+C16+C17+C18+C19+C20+C21+C22)</f>
        <v/>
      </c>
    </row>
    <row r="23" spans="1:11" ht="30" customHeight="1" x14ac:dyDescent="0.15">
      <c r="A23" s="358" t="str">
        <f>貼り付け!M13&amp;CHAR(10)&amp;IF(貼り付け!N13="","",貼り付け!N13)</f>
        <v xml:space="preserve">
</v>
      </c>
      <c r="B23" s="359"/>
      <c r="C23" s="2" t="str">
        <f>IF(貼り付け!R13="","",貼り付け!R13)</f>
        <v/>
      </c>
      <c r="D23" s="360"/>
      <c r="E23" s="361"/>
      <c r="F23" s="361"/>
      <c r="G23" s="238"/>
      <c r="H23" s="47"/>
      <c r="I23" s="12" t="str">
        <f>IF(C23="","",C13+C14+C15+C16+C17+C18+C19+C20+C21+C22+1)</f>
        <v/>
      </c>
      <c r="J23" s="13" t="s">
        <v>140</v>
      </c>
      <c r="K23" s="14" t="str">
        <f>IF(OR(C23="",C23=1),"",C13+C14+C15+C16+C17+C18+C19+C20+C21+C22+C23)</f>
        <v/>
      </c>
    </row>
    <row r="24" spans="1:11" ht="26.25" customHeight="1" thickBot="1" x14ac:dyDescent="0.2">
      <c r="A24" s="371" t="str">
        <f>貼り付け!M14&amp;CHAR(10)&amp;IF(貼り付け!N14="","",貼り付け!N14)</f>
        <v xml:space="preserve">
</v>
      </c>
      <c r="B24" s="372"/>
      <c r="C24" s="25" t="str">
        <f>IF(貼り付け!R14="","",貼り付け!R14)</f>
        <v/>
      </c>
      <c r="D24" s="360"/>
      <c r="E24" s="361"/>
      <c r="F24" s="361"/>
      <c r="G24" s="238"/>
      <c r="H24" s="47"/>
      <c r="I24" s="12" t="str">
        <f>IF(C24="","",C13+C14+C15+16+C17+C18+C19+C20+C21+C22+C23+1)</f>
        <v/>
      </c>
      <c r="J24" s="15" t="s">
        <v>140</v>
      </c>
      <c r="K24" s="14" t="str">
        <f>IF(OR(C24="",C24=1),"",C13+C14+C15+C16+C17+C18+C19+C20+C21+C22+C23+C24)</f>
        <v/>
      </c>
    </row>
    <row r="25" spans="1:11" ht="30" customHeight="1" thickBot="1" x14ac:dyDescent="0.2">
      <c r="A25" s="16" t="s">
        <v>64</v>
      </c>
      <c r="B25" s="313">
        <f>SUM(C13:C24)</f>
        <v>3</v>
      </c>
      <c r="C25" s="164"/>
      <c r="D25" s="373" t="s">
        <v>66</v>
      </c>
      <c r="E25" s="374"/>
      <c r="F25" s="273"/>
      <c r="G25" s="375"/>
      <c r="H25" s="375"/>
      <c r="I25" s="375"/>
      <c r="J25" s="375"/>
      <c r="K25" s="376"/>
    </row>
    <row r="26" spans="1:11" x14ac:dyDescent="0.15">
      <c r="D26" s="274" t="s">
        <v>2</v>
      </c>
      <c r="E26" s="275"/>
      <c r="F26" s="368">
        <f>B5</f>
        <v>20170804</v>
      </c>
      <c r="G26" s="369"/>
      <c r="H26" s="369"/>
      <c r="I26" s="369"/>
      <c r="J26" s="369"/>
      <c r="K26" s="370"/>
    </row>
    <row r="27" spans="1:11" ht="12" customHeight="1" x14ac:dyDescent="0.15">
      <c r="D27" s="171"/>
      <c r="E27" s="172"/>
      <c r="F27" s="176"/>
      <c r="G27" s="177"/>
      <c r="H27" s="177"/>
      <c r="I27" s="177"/>
      <c r="J27" s="177"/>
      <c r="K27" s="178"/>
    </row>
  </sheetData>
  <mergeCells count="53">
    <mergeCell ref="B6:K6"/>
    <mergeCell ref="B7:C7"/>
    <mergeCell ref="E7:K7"/>
    <mergeCell ref="B8:K8"/>
    <mergeCell ref="A9:A10"/>
    <mergeCell ref="B10:E10"/>
    <mergeCell ref="G10:K10"/>
    <mergeCell ref="B9:E9"/>
    <mergeCell ref="I9:K9"/>
    <mergeCell ref="D26:E27"/>
    <mergeCell ref="F26:K27"/>
    <mergeCell ref="A24:B24"/>
    <mergeCell ref="D24:G24"/>
    <mergeCell ref="B25:C25"/>
    <mergeCell ref="D25:E25"/>
    <mergeCell ref="F25:K25"/>
    <mergeCell ref="A22:B22"/>
    <mergeCell ref="D22:G22"/>
    <mergeCell ref="A23:B23"/>
    <mergeCell ref="D23:G23"/>
    <mergeCell ref="A20:B20"/>
    <mergeCell ref="D20:G20"/>
    <mergeCell ref="A21:B21"/>
    <mergeCell ref="D21:G21"/>
    <mergeCell ref="A19:B19"/>
    <mergeCell ref="D19:G19"/>
    <mergeCell ref="A16:B16"/>
    <mergeCell ref="D16:G16"/>
    <mergeCell ref="A17:B17"/>
    <mergeCell ref="D17:G17"/>
    <mergeCell ref="A15:B15"/>
    <mergeCell ref="D15:G15"/>
    <mergeCell ref="A12:B12"/>
    <mergeCell ref="D12:H12"/>
    <mergeCell ref="A18:B18"/>
    <mergeCell ref="D18:G18"/>
    <mergeCell ref="E11:K11"/>
    <mergeCell ref="A14:B14"/>
    <mergeCell ref="D14:G14"/>
    <mergeCell ref="I12:K12"/>
    <mergeCell ref="A13:B13"/>
    <mergeCell ref="D13:G13"/>
    <mergeCell ref="B4:C4"/>
    <mergeCell ref="D4:K4"/>
    <mergeCell ref="B5:C5"/>
    <mergeCell ref="A1:K1"/>
    <mergeCell ref="B3:C3"/>
    <mergeCell ref="D3:E3"/>
    <mergeCell ref="F3:K3"/>
    <mergeCell ref="B2:C2"/>
    <mergeCell ref="D2:E2"/>
    <mergeCell ref="F2:K2"/>
    <mergeCell ref="E5:K5"/>
  </mergeCells>
  <phoneticPr fontId="1"/>
  <pageMargins left="0.78700000000000003" right="0.67" top="0.98399999999999999" bottom="0.98399999999999999" header="0.51200000000000001" footer="0.51200000000000001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27"/>
  <sheetViews>
    <sheetView tabSelected="1" workbookViewId="0">
      <selection activeCell="I14" sqref="I14"/>
    </sheetView>
  </sheetViews>
  <sheetFormatPr defaultRowHeight="13.5" x14ac:dyDescent="0.15"/>
  <cols>
    <col min="1" max="1" width="14.375" customWidth="1"/>
    <col min="2" max="2" width="19.625" customWidth="1"/>
    <col min="3" max="4" width="8.125" customWidth="1"/>
    <col min="5" max="5" width="6" customWidth="1"/>
    <col min="6" max="6" width="5.625" customWidth="1"/>
    <col min="7" max="7" width="7.125" customWidth="1"/>
    <col min="8" max="8" width="4.625" customWidth="1"/>
    <col min="9" max="9" width="5.625" customWidth="1"/>
    <col min="10" max="10" width="3.25" customWidth="1"/>
    <col min="11" max="11" width="6.875" bestFit="1" customWidth="1"/>
  </cols>
  <sheetData>
    <row r="1" spans="1:14" ht="30" customHeight="1" thickBot="1" x14ac:dyDescent="0.2">
      <c r="A1" s="355" t="s">
        <v>116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</row>
    <row r="2" spans="1:14" ht="30" customHeight="1" x14ac:dyDescent="0.15">
      <c r="A2" s="41" t="s">
        <v>117</v>
      </c>
      <c r="B2" s="231">
        <f>貼り付け!B3</f>
        <v>20170802</v>
      </c>
      <c r="C2" s="262"/>
      <c r="D2" s="263" t="s">
        <v>118</v>
      </c>
      <c r="E2" s="300"/>
      <c r="F2" s="234" t="str">
        <f>貼り付け!A3</f>
        <v>J708000739</v>
      </c>
      <c r="G2" s="398"/>
      <c r="H2" s="398"/>
      <c r="I2" s="398"/>
      <c r="J2" s="398"/>
      <c r="K2" s="399"/>
    </row>
    <row r="3" spans="1:14" ht="30" customHeight="1" x14ac:dyDescent="0.15">
      <c r="A3" s="20" t="s">
        <v>119</v>
      </c>
      <c r="B3" s="237" t="str">
        <f>IF(ISNA(VLOOKUP(貼り付け!G3,納入先名,4,FALSE)),"",VLOOKUP(貼り付け!G3,納入先名,4,FALSE))</f>
        <v>水野</v>
      </c>
      <c r="C3" s="259"/>
      <c r="D3" s="242" t="s">
        <v>120</v>
      </c>
      <c r="E3" s="260"/>
      <c r="F3" s="237"/>
      <c r="G3" s="264"/>
      <c r="H3" s="264"/>
      <c r="I3" s="264"/>
      <c r="J3" s="264"/>
      <c r="K3" s="265"/>
    </row>
    <row r="4" spans="1:14" ht="30" customHeight="1" x14ac:dyDescent="0.15">
      <c r="A4" s="20" t="s">
        <v>121</v>
      </c>
      <c r="B4" s="237" t="str">
        <f>貼り付け!G3</f>
        <v>PHT01</v>
      </c>
      <c r="C4" s="259" t="str">
        <f>IF(ISNA(VLOOKUP(B4,納入先名!A1:B155,2,FALSE)),"",VLOOKUP(B4,納入先名!A1:B155,2,FALSE))</f>
        <v>フィリピンタミヤ</v>
      </c>
      <c r="D4" s="237" t="str">
        <f>IF(ISNA(VLOOKUP(B4,納入先名,2,FALSE)),"",VLOOKUP(B4,納入先名,2,FALSE))</f>
        <v>フィリピンタミヤ</v>
      </c>
      <c r="E4" s="264"/>
      <c r="F4" s="264"/>
      <c r="G4" s="264"/>
      <c r="H4" s="264"/>
      <c r="I4" s="264"/>
      <c r="J4" s="264"/>
      <c r="K4" s="265"/>
    </row>
    <row r="5" spans="1:14" ht="30" customHeight="1" x14ac:dyDescent="0.15">
      <c r="A5" s="20" t="s">
        <v>122</v>
      </c>
      <c r="B5" s="241">
        <f>貼り付け!P3</f>
        <v>20170804</v>
      </c>
      <c r="C5" s="400"/>
      <c r="D5" s="242" t="s">
        <v>123</v>
      </c>
      <c r="E5" s="260"/>
      <c r="F5" s="401" t="str">
        <f>貼り付け!S3</f>
        <v>8/7納期</v>
      </c>
      <c r="G5" s="402"/>
      <c r="H5" s="402"/>
      <c r="I5" s="402"/>
      <c r="J5" s="402"/>
      <c r="K5" s="403"/>
    </row>
    <row r="6" spans="1:14" ht="30" customHeight="1" x14ac:dyDescent="0.15">
      <c r="A6" s="20" t="s">
        <v>124</v>
      </c>
      <c r="B6" s="393" t="str">
        <f>IF(ISNA(VLOOKUP(B4,納入先名,8,FALSE)),"",VLOOKUP(B4,納入先名,8,FALSE))</f>
        <v>タミヤ様分</v>
      </c>
      <c r="C6" s="394"/>
      <c r="D6" s="394"/>
      <c r="E6" s="394"/>
      <c r="F6" s="394"/>
      <c r="G6" s="394"/>
      <c r="H6" s="394"/>
      <c r="I6" s="394"/>
      <c r="J6" s="394"/>
      <c r="K6" s="395"/>
    </row>
    <row r="7" spans="1:14" ht="30" customHeight="1" x14ac:dyDescent="0.15">
      <c r="A7" s="20" t="s">
        <v>125</v>
      </c>
      <c r="B7" s="393" t="str">
        <f>貼り付け!C3</f>
        <v>タミヤ様分</v>
      </c>
      <c r="C7" s="396"/>
      <c r="D7" s="242" t="s">
        <v>126</v>
      </c>
      <c r="E7" s="260"/>
      <c r="F7" s="242" t="str">
        <f>貼り付け!E3</f>
        <v>伊坂化成株式会社　藤枝</v>
      </c>
      <c r="G7" s="397"/>
      <c r="H7" s="397"/>
      <c r="I7" s="397"/>
      <c r="J7" s="397"/>
      <c r="K7" s="77" t="s">
        <v>610</v>
      </c>
    </row>
    <row r="8" spans="1:14" ht="30" customHeight="1" x14ac:dyDescent="0.15">
      <c r="A8" s="20" t="s">
        <v>127</v>
      </c>
      <c r="B8" s="237" t="str">
        <f>貼り付け!H3</f>
        <v>アオキトランス㈱興津ターミナル事務所</v>
      </c>
      <c r="C8" s="264"/>
      <c r="D8" s="264"/>
      <c r="E8" s="264"/>
      <c r="F8" s="264" t="str">
        <f>IF(貼り付け!I3="","",貼り付け!I3)</f>
        <v/>
      </c>
      <c r="G8" s="264"/>
      <c r="H8" s="264"/>
      <c r="I8" s="264"/>
      <c r="J8" s="264"/>
      <c r="K8" s="265"/>
    </row>
    <row r="9" spans="1:14" ht="30" customHeight="1" x14ac:dyDescent="0.15">
      <c r="A9" s="214" t="s">
        <v>128</v>
      </c>
      <c r="B9" s="319" t="str">
        <f>貼り付け!J3</f>
        <v>静岡市清水区興津清見寺１３７５－１６</v>
      </c>
      <c r="C9" s="320"/>
      <c r="D9" s="320"/>
      <c r="E9" s="377"/>
      <c r="F9" s="38" t="s">
        <v>129</v>
      </c>
      <c r="G9" s="18">
        <f>IF(ISNA(VLOOKUP(B4,納入先名,6,FALSE)),"",VLOOKUP(B4,納入先名,6,FALSE))</f>
        <v>424</v>
      </c>
      <c r="H9" s="9" t="s">
        <v>130</v>
      </c>
      <c r="I9" s="264" t="str">
        <f>IF(ISNA(VLOOKUP(B4,納入先名,7,FALSE)),"",VLOOKUP(B4,納入先名,7,FALSE))</f>
        <v>0206</v>
      </c>
      <c r="J9" s="264"/>
      <c r="K9" s="265"/>
    </row>
    <row r="10" spans="1:14" ht="30" customHeight="1" thickBot="1" x14ac:dyDescent="0.2">
      <c r="A10" s="390"/>
      <c r="B10" s="218" t="str">
        <f>IF(貼り付け!K3="","",貼り付け!K3)</f>
        <v/>
      </c>
      <c r="C10" s="219"/>
      <c r="D10" s="219"/>
      <c r="E10" s="220"/>
      <c r="F10" s="44" t="s">
        <v>131</v>
      </c>
      <c r="G10" s="216" t="str">
        <f>貼り付け!L3</f>
        <v>054-369-6666</v>
      </c>
      <c r="H10" s="216"/>
      <c r="I10" s="216"/>
      <c r="J10" s="216"/>
      <c r="K10" s="217"/>
      <c r="M10" s="391"/>
      <c r="N10" s="391"/>
    </row>
    <row r="11" spans="1:14" ht="30" customHeight="1" thickBot="1" x14ac:dyDescent="0.2">
      <c r="A11" s="11"/>
      <c r="B11" s="11"/>
      <c r="C11" s="11"/>
      <c r="D11" s="11"/>
      <c r="E11" s="392"/>
      <c r="F11" s="392"/>
      <c r="G11" s="392"/>
      <c r="H11" s="392"/>
      <c r="I11" s="392"/>
      <c r="J11" s="392"/>
      <c r="K11" s="392"/>
      <c r="M11" s="391"/>
      <c r="N11" s="391"/>
    </row>
    <row r="12" spans="1:14" ht="30" customHeight="1" x14ac:dyDescent="0.15">
      <c r="A12" s="388" t="s">
        <v>132</v>
      </c>
      <c r="B12" s="389"/>
      <c r="C12" s="48" t="s">
        <v>133</v>
      </c>
      <c r="D12" s="362" t="s">
        <v>134</v>
      </c>
      <c r="E12" s="363"/>
      <c r="F12" s="363"/>
      <c r="G12" s="363"/>
      <c r="H12" s="389"/>
      <c r="I12" s="362" t="s">
        <v>321</v>
      </c>
      <c r="J12" s="363"/>
      <c r="K12" s="364"/>
    </row>
    <row r="13" spans="1:14" ht="30" customHeight="1" x14ac:dyDescent="0.15">
      <c r="A13" s="358" t="str">
        <f>貼り付け!M3&amp;CHAR(10)&amp;IF(貼り付け!N3="","",貼り付け!N3)</f>
        <v>S1-FPA3-U-EX
ＦＰＡ－３ (UN/16KG)</v>
      </c>
      <c r="B13" s="359"/>
      <c r="C13" s="2">
        <f>IF(貼り付け!R3="","",貼り付け!R3)</f>
        <v>3</v>
      </c>
      <c r="D13" s="360"/>
      <c r="E13" s="361"/>
      <c r="F13" s="361"/>
      <c r="G13" s="387"/>
      <c r="H13" s="47"/>
      <c r="I13" s="12" t="str">
        <f>IF(C13="","","YK1")</f>
        <v>YK1</v>
      </c>
      <c r="J13" s="13" t="str">
        <f>IF(OR(C13="",C13=1),"","～")</f>
        <v>～</v>
      </c>
      <c r="K13" s="14" t="str">
        <f>IF(OR(C13="",C13=1),"","YK"&amp;C13)</f>
        <v>YK3</v>
      </c>
    </row>
    <row r="14" spans="1:14" ht="30" customHeight="1" x14ac:dyDescent="0.15">
      <c r="A14" s="358" t="str">
        <f>貼り付け!M4&amp;CHAR(10)&amp;IF(貼り付け!N4="","",貼り付け!N4)</f>
        <v xml:space="preserve">
</v>
      </c>
      <c r="B14" s="359"/>
      <c r="C14" s="2">
        <v>7</v>
      </c>
      <c r="D14" s="360"/>
      <c r="E14" s="361"/>
      <c r="F14" s="361"/>
      <c r="G14" s="387"/>
      <c r="H14" s="47"/>
      <c r="I14" s="12" t="str">
        <f>IF(C14="","","YK"&amp;C13+1)</f>
        <v>YK4</v>
      </c>
      <c r="J14" s="13" t="str">
        <f>IF(OR(C14="",C14=1),"","～")</f>
        <v>～</v>
      </c>
      <c r="K14" s="14" t="str">
        <f>IF(OR(C14="",C14=1),"","YK"&amp;C13+C14)</f>
        <v>YK10</v>
      </c>
    </row>
    <row r="15" spans="1:14" ht="30" customHeight="1" x14ac:dyDescent="0.15">
      <c r="A15" s="358" t="str">
        <f>貼り付け!M5&amp;CHAR(10)&amp;IF(貼り付け!N5="","",貼り付け!N5)</f>
        <v xml:space="preserve">
</v>
      </c>
      <c r="B15" s="359"/>
      <c r="C15" s="2" t="str">
        <f>IF(貼り付け!R5="","",貼り付け!R5)</f>
        <v/>
      </c>
      <c r="D15" s="360"/>
      <c r="E15" s="361"/>
      <c r="F15" s="361"/>
      <c r="G15" s="387"/>
      <c r="H15" s="47"/>
      <c r="I15" s="12" t="str">
        <f>IF(C15="","","YK"&amp;C13+C14+1)</f>
        <v/>
      </c>
      <c r="J15" s="13" t="str">
        <f>IF(OR(C15="",C15=1),"","～")</f>
        <v/>
      </c>
      <c r="K15" s="14" t="str">
        <f>IF(OR(C15="",C15=1),"","YK"&amp;C13+C14+C15)</f>
        <v/>
      </c>
    </row>
    <row r="16" spans="1:14" ht="30" customHeight="1" x14ac:dyDescent="0.15">
      <c r="A16" s="358" t="str">
        <f>貼り付け!M6&amp;CHAR(10)&amp;IF(貼り付け!N6="","",貼り付け!N6)</f>
        <v xml:space="preserve">
</v>
      </c>
      <c r="B16" s="359"/>
      <c r="C16" s="2" t="str">
        <f>IF(貼り付け!R6="","",貼り付け!R6)</f>
        <v/>
      </c>
      <c r="D16" s="360"/>
      <c r="E16" s="361"/>
      <c r="F16" s="361"/>
      <c r="G16" s="387"/>
      <c r="H16" s="47"/>
      <c r="I16" s="12" t="str">
        <f>IF(C16="","","YK"&amp;C13+C14+C15+1)</f>
        <v/>
      </c>
      <c r="J16" s="13" t="str">
        <f t="shared" ref="J16:J24" si="0">IF(OR(C16="",C16=1),"","～")</f>
        <v/>
      </c>
      <c r="K16" s="14" t="str">
        <f>IF(OR(C16="",C16=1),"","YK"&amp;C13+C14+C15+C16)</f>
        <v/>
      </c>
    </row>
    <row r="17" spans="1:11" ht="30" customHeight="1" x14ac:dyDescent="0.15">
      <c r="A17" s="358" t="str">
        <f>貼り付け!M7&amp;CHAR(10)&amp;IF(貼り付け!N7="","",貼り付け!N7)</f>
        <v xml:space="preserve">
</v>
      </c>
      <c r="B17" s="359"/>
      <c r="C17" s="2" t="str">
        <f>IF(貼り付け!R7="","",貼り付け!R7)</f>
        <v/>
      </c>
      <c r="D17" s="360"/>
      <c r="E17" s="361"/>
      <c r="F17" s="361"/>
      <c r="G17" s="387"/>
      <c r="H17" s="47"/>
      <c r="I17" s="12" t="str">
        <f>IF(C17="","","YK"&amp;C13+C14+C15+C16+1)</f>
        <v/>
      </c>
      <c r="J17" s="13" t="str">
        <f t="shared" si="0"/>
        <v/>
      </c>
      <c r="K17" s="14" t="str">
        <f>IF(OR(C17="",C17=1),"","YK"&amp;C13+C14+C15+C16+C17)</f>
        <v/>
      </c>
    </row>
    <row r="18" spans="1:11" ht="30" customHeight="1" x14ac:dyDescent="0.15">
      <c r="A18" s="358" t="str">
        <f>貼り付け!M8&amp;CHAR(10)&amp;IF(貼り付け!N8="","",貼り付け!N8)</f>
        <v xml:space="preserve">
</v>
      </c>
      <c r="B18" s="359"/>
      <c r="C18" s="2" t="str">
        <f>IF(貼り付け!R8="","",貼り付け!R8)</f>
        <v/>
      </c>
      <c r="D18" s="360"/>
      <c r="E18" s="361"/>
      <c r="F18" s="361"/>
      <c r="G18" s="387"/>
      <c r="H18" s="47"/>
      <c r="I18" s="12" t="str">
        <f>IF(C18="","","YK"&amp;C13+C14+C15+C16+C17+1)</f>
        <v/>
      </c>
      <c r="J18" s="13" t="str">
        <f t="shared" si="0"/>
        <v/>
      </c>
      <c r="K18" s="14" t="str">
        <f>IF(OR(C18="",C18=1),"","YK"&amp;C13+C14+C15+C16+C17+C18)</f>
        <v/>
      </c>
    </row>
    <row r="19" spans="1:11" ht="30" customHeight="1" x14ac:dyDescent="0.15">
      <c r="A19" s="358" t="str">
        <f>貼り付け!M9&amp;CHAR(10)&amp;IF(貼り付け!N9="","",貼り付け!N9)</f>
        <v xml:space="preserve">
</v>
      </c>
      <c r="B19" s="359"/>
      <c r="C19" s="2" t="str">
        <f>IF(貼り付け!R9="","",貼り付け!R9)</f>
        <v/>
      </c>
      <c r="D19" s="360"/>
      <c r="E19" s="361"/>
      <c r="F19" s="361"/>
      <c r="G19" s="387"/>
      <c r="H19" s="47"/>
      <c r="I19" s="12" t="str">
        <f>IF(C19="","","YK"&amp;C13+C14+C15+C16+C17+C18+1)</f>
        <v/>
      </c>
      <c r="J19" s="13" t="str">
        <f t="shared" si="0"/>
        <v/>
      </c>
      <c r="K19" s="14" t="str">
        <f>IF(OR(C19="",C19=1),"","YK"&amp;C13+C14+C15+C16+C17+C18+C19)</f>
        <v/>
      </c>
    </row>
    <row r="20" spans="1:11" ht="30" customHeight="1" x14ac:dyDescent="0.15">
      <c r="A20" s="358" t="str">
        <f>貼り付け!M10&amp;CHAR(10)&amp;IF(貼り付け!N10="","",貼り付け!N10)</f>
        <v xml:space="preserve">
</v>
      </c>
      <c r="B20" s="359"/>
      <c r="C20" s="2" t="str">
        <f>IF(貼り付け!R10="","",貼り付け!R10)</f>
        <v/>
      </c>
      <c r="D20" s="360"/>
      <c r="E20" s="361"/>
      <c r="F20" s="361"/>
      <c r="G20" s="387"/>
      <c r="H20" s="47"/>
      <c r="I20" s="12" t="str">
        <f>IF(C20="","","YK"&amp;C13+C14+C15+C16+C17+C18+C19+1)</f>
        <v/>
      </c>
      <c r="J20" s="13" t="str">
        <f t="shared" si="0"/>
        <v/>
      </c>
      <c r="K20" s="14" t="str">
        <f>IF(OR(C20="",C20=1),"","YK"&amp;C13+C14+C15+C16+C17+C18+C19+C20)</f>
        <v/>
      </c>
    </row>
    <row r="21" spans="1:11" ht="30" customHeight="1" x14ac:dyDescent="0.15">
      <c r="A21" s="358" t="str">
        <f>貼り付け!M11&amp;CHAR(10)&amp;IF(貼り付け!N11="","",貼り付け!N11)</f>
        <v xml:space="preserve">
</v>
      </c>
      <c r="B21" s="359"/>
      <c r="C21" s="2" t="str">
        <f>IF(貼り付け!R11="","",貼り付け!R11)</f>
        <v/>
      </c>
      <c r="D21" s="360"/>
      <c r="E21" s="361"/>
      <c r="F21" s="361"/>
      <c r="G21" s="387"/>
      <c r="H21" s="47"/>
      <c r="I21" s="12" t="str">
        <f>IF(C21="","","YK"&amp;C13+C14+C15+C16+C17+C18+C19+C20+1)</f>
        <v/>
      </c>
      <c r="J21" s="13" t="str">
        <f t="shared" si="0"/>
        <v/>
      </c>
      <c r="K21" s="14" t="str">
        <f>IF(OR(C21="",C21=1),"","YK"&amp;C13+C14+C15+C16+C17+C18+C19+C20+C21)</f>
        <v/>
      </c>
    </row>
    <row r="22" spans="1:11" ht="30" customHeight="1" x14ac:dyDescent="0.15">
      <c r="A22" s="358" t="str">
        <f>貼り付け!M12&amp;CHAR(10)&amp;IF(貼り付け!N12="","",貼り付け!N12)</f>
        <v xml:space="preserve">
</v>
      </c>
      <c r="B22" s="359"/>
      <c r="C22" s="2" t="str">
        <f>IF(貼り付け!R12="","",貼り付け!R12)</f>
        <v/>
      </c>
      <c r="D22" s="360"/>
      <c r="E22" s="361"/>
      <c r="F22" s="361"/>
      <c r="G22" s="387"/>
      <c r="H22" s="47"/>
      <c r="I22" s="12" t="str">
        <f>IF(C22="","","YK"&amp;C13+C14+C15+C16+C17+C18+C19+C20+C21+1)</f>
        <v/>
      </c>
      <c r="J22" s="13" t="str">
        <f t="shared" si="0"/>
        <v/>
      </c>
      <c r="K22" s="14" t="str">
        <f>IF(OR(C22="",C22=1),"","YK"&amp;C13+C14+C15+C16+C17+C18+C19+C20+C21+C22)</f>
        <v/>
      </c>
    </row>
    <row r="23" spans="1:11" ht="30" customHeight="1" x14ac:dyDescent="0.15">
      <c r="A23" s="358" t="str">
        <f>貼り付け!M13&amp;CHAR(10)&amp;IF(貼り付け!N13="","",貼り付け!N13)</f>
        <v xml:space="preserve">
</v>
      </c>
      <c r="B23" s="359"/>
      <c r="C23" s="2" t="str">
        <f>IF(貼り付け!R13="","",貼り付け!R13)</f>
        <v/>
      </c>
      <c r="D23" s="360"/>
      <c r="E23" s="361"/>
      <c r="F23" s="361"/>
      <c r="G23" s="387"/>
      <c r="H23" s="47"/>
      <c r="I23" s="12" t="str">
        <f>IF(C23="","","YK"&amp;C13+C14+C15+C16+C17+C18+C19+C20+C21+C22+1)</f>
        <v/>
      </c>
      <c r="J23" s="13" t="str">
        <f t="shared" si="0"/>
        <v/>
      </c>
      <c r="K23" s="14" t="str">
        <f>IF(OR(C23="",C23=1),"","YK"&amp;C13+C14+C15+C16+C17+C18+C19+C20+C21+C22+C23)</f>
        <v/>
      </c>
    </row>
    <row r="24" spans="1:11" ht="26.25" customHeight="1" thickBot="1" x14ac:dyDescent="0.2">
      <c r="A24" s="371" t="str">
        <f>貼り付け!M14&amp;CHAR(10)&amp;IF(貼り付け!N14="","",貼り付け!N14)</f>
        <v xml:space="preserve">
</v>
      </c>
      <c r="B24" s="372"/>
      <c r="C24" s="65" t="str">
        <f>IF(貼り付け!R14="","",貼り付け!R14)</f>
        <v/>
      </c>
      <c r="D24" s="382"/>
      <c r="E24" s="383"/>
      <c r="F24" s="383"/>
      <c r="G24" s="384"/>
      <c r="H24" s="47"/>
      <c r="I24" s="12" t="str">
        <f>IF(C24="","","YK"&amp;C13+C14+C15+16+C17+C18+C19+C20+C21+C22+C23+1)</f>
        <v/>
      </c>
      <c r="J24" s="13" t="str">
        <f t="shared" si="0"/>
        <v/>
      </c>
      <c r="K24" s="14" t="str">
        <f>IF(OR(C24="",C24=1),"","YK"&amp;C13+C14+C15+C16+C17+C18+C19+C20+C21+C22+C23+C24)</f>
        <v/>
      </c>
    </row>
    <row r="25" spans="1:11" ht="30" customHeight="1" thickBot="1" x14ac:dyDescent="0.2">
      <c r="A25" s="16" t="s">
        <v>135</v>
      </c>
      <c r="B25" s="385">
        <f>SUM(C13:C24)</f>
        <v>10</v>
      </c>
      <c r="C25" s="386"/>
      <c r="D25" s="373" t="s">
        <v>136</v>
      </c>
      <c r="E25" s="374"/>
      <c r="F25" s="273"/>
      <c r="G25" s="375"/>
      <c r="H25" s="375"/>
      <c r="I25" s="375"/>
      <c r="J25" s="375"/>
      <c r="K25" s="376"/>
    </row>
    <row r="26" spans="1:11" ht="13.5" customHeight="1" x14ac:dyDescent="0.15">
      <c r="D26" s="274" t="s">
        <v>122</v>
      </c>
      <c r="E26" s="275"/>
      <c r="F26" s="368">
        <f>B5</f>
        <v>20170804</v>
      </c>
      <c r="G26" s="378"/>
      <c r="H26" s="378"/>
      <c r="I26" s="378"/>
      <c r="J26" s="378"/>
      <c r="K26" s="379"/>
    </row>
    <row r="27" spans="1:11" ht="12" customHeight="1" x14ac:dyDescent="0.15">
      <c r="D27" s="171"/>
      <c r="E27" s="172"/>
      <c r="F27" s="356"/>
      <c r="G27" s="380"/>
      <c r="H27" s="380"/>
      <c r="I27" s="380"/>
      <c r="J27" s="380"/>
      <c r="K27" s="381"/>
    </row>
  </sheetData>
  <mergeCells count="58">
    <mergeCell ref="B4:C4"/>
    <mergeCell ref="D4:K4"/>
    <mergeCell ref="B5:C5"/>
    <mergeCell ref="D5:E5"/>
    <mergeCell ref="F5:K5"/>
    <mergeCell ref="A1:K1"/>
    <mergeCell ref="B3:C3"/>
    <mergeCell ref="D3:E3"/>
    <mergeCell ref="F3:K3"/>
    <mergeCell ref="B2:C2"/>
    <mergeCell ref="D2:E2"/>
    <mergeCell ref="F2:K2"/>
    <mergeCell ref="M10:N10"/>
    <mergeCell ref="E11:K11"/>
    <mergeCell ref="M11:N11"/>
    <mergeCell ref="B6:K6"/>
    <mergeCell ref="B7:C7"/>
    <mergeCell ref="B8:E8"/>
    <mergeCell ref="F8:K8"/>
    <mergeCell ref="D7:E7"/>
    <mergeCell ref="B10:E10"/>
    <mergeCell ref="G10:K10"/>
    <mergeCell ref="F7:J7"/>
    <mergeCell ref="A14:B14"/>
    <mergeCell ref="D14:G14"/>
    <mergeCell ref="B9:E9"/>
    <mergeCell ref="I9:K9"/>
    <mergeCell ref="A12:B12"/>
    <mergeCell ref="D12:H12"/>
    <mergeCell ref="I12:K12"/>
    <mergeCell ref="A13:B13"/>
    <mergeCell ref="D13:G13"/>
    <mergeCell ref="A9:A10"/>
    <mergeCell ref="A15:B15"/>
    <mergeCell ref="D15:G15"/>
    <mergeCell ref="A16:B16"/>
    <mergeCell ref="D16:G16"/>
    <mergeCell ref="A17:B17"/>
    <mergeCell ref="D17:G17"/>
    <mergeCell ref="A18:B18"/>
    <mergeCell ref="D18:G18"/>
    <mergeCell ref="A19:B19"/>
    <mergeCell ref="D19:G19"/>
    <mergeCell ref="A20:B20"/>
    <mergeCell ref="D20:G20"/>
    <mergeCell ref="A21:B21"/>
    <mergeCell ref="D21:G21"/>
    <mergeCell ref="A22:B22"/>
    <mergeCell ref="D22:G22"/>
    <mergeCell ref="A23:B23"/>
    <mergeCell ref="D23:G23"/>
    <mergeCell ref="D26:E27"/>
    <mergeCell ref="F26:K27"/>
    <mergeCell ref="A24:B24"/>
    <mergeCell ref="D24:G24"/>
    <mergeCell ref="B25:C25"/>
    <mergeCell ref="D25:E25"/>
    <mergeCell ref="F25:K25"/>
  </mergeCells>
  <phoneticPr fontId="1"/>
  <pageMargins left="0.65" right="0.4" top="0.98399999999999999" bottom="0.98399999999999999" header="0.51200000000000001" footer="0.51200000000000001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39"/>
  <sheetViews>
    <sheetView workbookViewId="0">
      <selection activeCell="K13" sqref="K13:K14"/>
    </sheetView>
  </sheetViews>
  <sheetFormatPr defaultRowHeight="13.5" x14ac:dyDescent="0.15"/>
  <cols>
    <col min="1" max="1" width="12" customWidth="1"/>
    <col min="2" max="2" width="23.625" customWidth="1"/>
    <col min="5" max="5" width="5.875" customWidth="1"/>
    <col min="6" max="6" width="6.125" customWidth="1"/>
    <col min="7" max="7" width="8.5" customWidth="1"/>
    <col min="8" max="8" width="4.5" customWidth="1"/>
    <col min="9" max="9" width="5" customWidth="1"/>
    <col min="10" max="10" width="3.5" customWidth="1"/>
    <col min="11" max="11" width="5" customWidth="1"/>
  </cols>
  <sheetData>
    <row r="1" spans="1:14" ht="19.5" thickBot="1" x14ac:dyDescent="0.2">
      <c r="A1" s="414" t="s">
        <v>67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</row>
    <row r="2" spans="1:14" ht="32.1" customHeight="1" x14ac:dyDescent="0.15">
      <c r="A2" s="41" t="s">
        <v>4</v>
      </c>
      <c r="B2" s="231">
        <f>貼り付け!B3</f>
        <v>20170802</v>
      </c>
      <c r="C2" s="211"/>
      <c r="D2" s="263" t="s">
        <v>3</v>
      </c>
      <c r="E2" s="211"/>
      <c r="F2" s="234" t="str">
        <f>貼り付け!A3</f>
        <v>J708000739</v>
      </c>
      <c r="G2" s="235"/>
      <c r="H2" s="235"/>
      <c r="I2" s="235"/>
      <c r="J2" s="235"/>
      <c r="K2" s="236"/>
    </row>
    <row r="3" spans="1:14" ht="32.1" customHeight="1" x14ac:dyDescent="0.15">
      <c r="A3" s="20" t="s">
        <v>62</v>
      </c>
      <c r="B3" s="222" t="str">
        <f>IF(ISNA(VLOOKUP(貼り付け!G3,担当者,4,FALSE)),"",VLOOKUP(貼り付け!G3,担当者,4,FALSE))</f>
        <v>水野</v>
      </c>
      <c r="C3" s="222"/>
      <c r="D3" s="242" t="s">
        <v>63</v>
      </c>
      <c r="E3" s="260"/>
      <c r="F3" s="418"/>
      <c r="G3" s="419"/>
      <c r="H3" s="419"/>
      <c r="I3" s="419"/>
      <c r="J3" s="419"/>
      <c r="K3" s="420"/>
    </row>
    <row r="4" spans="1:14" ht="32.1" customHeight="1" x14ac:dyDescent="0.15">
      <c r="A4" s="20" t="s">
        <v>1</v>
      </c>
      <c r="B4" s="237" t="str">
        <f>貼り付け!G3</f>
        <v>PHT01</v>
      </c>
      <c r="C4" s="238"/>
      <c r="D4" s="237" t="str">
        <f>IF(ISNA(VLOOKUP(B4,納入先名,2,FALSE)),"",VLOOKUP(B4,納入先名,2,FALSE))</f>
        <v>フィリピンタミヤ</v>
      </c>
      <c r="E4" s="239"/>
      <c r="F4" s="239"/>
      <c r="G4" s="239"/>
      <c r="H4" s="239"/>
      <c r="I4" s="239"/>
      <c r="J4" s="239"/>
      <c r="K4" s="240"/>
    </row>
    <row r="5" spans="1:14" ht="32.1" customHeight="1" x14ac:dyDescent="0.15">
      <c r="A5" s="20" t="s">
        <v>2</v>
      </c>
      <c r="B5" s="241">
        <f>貼り付け!P3</f>
        <v>20170804</v>
      </c>
      <c r="C5" s="421"/>
      <c r="D5" s="242" t="s">
        <v>58</v>
      </c>
      <c r="E5" s="260"/>
      <c r="F5" s="423" t="str">
        <f>貼り付け!S3</f>
        <v>8/7納期</v>
      </c>
      <c r="G5" s="244"/>
      <c r="H5" s="244"/>
      <c r="I5" s="244"/>
      <c r="J5" s="244"/>
      <c r="K5" s="245"/>
    </row>
    <row r="6" spans="1:14" ht="32.1" customHeight="1" x14ac:dyDescent="0.15">
      <c r="A6" s="20" t="s">
        <v>60</v>
      </c>
      <c r="B6" s="99" t="str">
        <f>貼り付け!C3</f>
        <v>タミヤ様分</v>
      </c>
      <c r="C6" s="246" t="str">
        <f>IF(ISNA(VLOOKUP(B4,納入先名,8,FALSE)),"",VLOOKUP(B4,納入先名,8,FALSE))</f>
        <v>タミヤ様分</v>
      </c>
      <c r="D6" s="246"/>
      <c r="E6" s="246"/>
      <c r="F6" s="246"/>
      <c r="G6" s="246"/>
      <c r="H6" s="246"/>
      <c r="I6" s="246"/>
      <c r="J6" s="246"/>
      <c r="K6" s="247"/>
    </row>
    <row r="7" spans="1:14" ht="32.1" customHeight="1" x14ac:dyDescent="0.15">
      <c r="A7" s="20" t="s">
        <v>5</v>
      </c>
      <c r="B7" s="237" t="str">
        <f>貼り付け!C3</f>
        <v>タミヤ様分</v>
      </c>
      <c r="C7" s="259"/>
      <c r="D7" s="22" t="s">
        <v>59</v>
      </c>
      <c r="E7" s="242" t="str">
        <f>貼り付け!E3</f>
        <v>伊坂化成株式会社　藤枝</v>
      </c>
      <c r="F7" s="397"/>
      <c r="G7" s="397"/>
      <c r="H7" s="397"/>
      <c r="I7" s="397"/>
      <c r="J7" s="425" t="s">
        <v>610</v>
      </c>
      <c r="K7" s="426"/>
    </row>
    <row r="8" spans="1:14" ht="32.1" customHeight="1" x14ac:dyDescent="0.15">
      <c r="A8" s="20" t="s">
        <v>8</v>
      </c>
      <c r="B8" s="237" t="str">
        <f>貼り付け!H3&amp;"  "&amp;貼り付け!I3</f>
        <v xml:space="preserve">アオキトランス㈱興津ターミナル事務所  </v>
      </c>
      <c r="C8" s="264"/>
      <c r="D8" s="264"/>
      <c r="E8" s="239"/>
      <c r="F8" s="239"/>
      <c r="G8" s="239"/>
      <c r="H8" s="239"/>
      <c r="I8" s="239"/>
      <c r="J8" s="239"/>
      <c r="K8" s="240"/>
    </row>
    <row r="9" spans="1:14" ht="32.1" customHeight="1" x14ac:dyDescent="0.15">
      <c r="A9" s="214" t="s">
        <v>9</v>
      </c>
      <c r="B9" s="319" t="str">
        <f>貼り付け!J3</f>
        <v>静岡市清水区興津清見寺１３７５－１６</v>
      </c>
      <c r="C9" s="320"/>
      <c r="D9" s="320"/>
      <c r="E9" s="320"/>
      <c r="F9" s="38" t="s">
        <v>137</v>
      </c>
      <c r="G9" s="9">
        <f>IF(ISNA(VLOOKUP(B4,納入先名,6,FALSE)),"",VLOOKUP(B4,納入先名,6,FALSE))</f>
        <v>424</v>
      </c>
      <c r="H9" s="9" t="s">
        <v>138</v>
      </c>
      <c r="I9" s="264" t="str">
        <f>IF(ISNA(VLOOKUP(B4,納入先名,7,FALSE)),"",VLOOKUP(B4,納入先名,7,FALSE))</f>
        <v>0206</v>
      </c>
      <c r="J9" s="264"/>
      <c r="K9" s="265"/>
    </row>
    <row r="10" spans="1:14" ht="32.1" customHeight="1" thickBot="1" x14ac:dyDescent="0.2">
      <c r="A10" s="215"/>
      <c r="B10" s="329" t="str">
        <f>IF(貼り付け!K3="","",貼り付け!K3)</f>
        <v/>
      </c>
      <c r="C10" s="317"/>
      <c r="D10" s="317"/>
      <c r="E10" s="424"/>
      <c r="F10" s="44" t="s">
        <v>139</v>
      </c>
      <c r="G10" s="216" t="str">
        <f>貼り付け!L3</f>
        <v>054-369-6666</v>
      </c>
      <c r="H10" s="216"/>
      <c r="I10" s="216"/>
      <c r="J10" s="216"/>
      <c r="K10" s="217"/>
      <c r="M10" s="391"/>
      <c r="N10" s="391"/>
    </row>
    <row r="11" spans="1:14" ht="12.75" customHeight="1" thickBot="1" x14ac:dyDescent="0.2">
      <c r="A11" s="11"/>
      <c r="B11" s="11"/>
      <c r="C11" s="11"/>
      <c r="D11" s="11"/>
      <c r="E11" s="413"/>
      <c r="F11" s="413"/>
      <c r="G11" s="413"/>
      <c r="H11" s="413"/>
      <c r="I11" s="413"/>
      <c r="J11" s="413"/>
      <c r="K11" s="413"/>
      <c r="M11" s="391"/>
      <c r="N11" s="391"/>
    </row>
    <row r="12" spans="1:14" ht="30" customHeight="1" x14ac:dyDescent="0.15">
      <c r="A12" s="283" t="s">
        <v>6</v>
      </c>
      <c r="B12" s="284"/>
      <c r="C12" s="101" t="s">
        <v>7</v>
      </c>
      <c r="D12" s="408" t="s">
        <v>10</v>
      </c>
      <c r="E12" s="409"/>
      <c r="F12" s="409"/>
      <c r="G12" s="409"/>
      <c r="H12" s="422"/>
      <c r="I12" s="408" t="s">
        <v>320</v>
      </c>
      <c r="J12" s="409"/>
      <c r="K12" s="410"/>
    </row>
    <row r="13" spans="1:14" ht="14.25" x14ac:dyDescent="0.15">
      <c r="A13" s="187" t="str">
        <f>IF(貼り付け!M3="","",貼り付け!M3)</f>
        <v>S1-FPA3-U-EX</v>
      </c>
      <c r="B13" s="193"/>
      <c r="C13" s="411">
        <f>IF(貼り付け!R3="","",貼り付け!R3)</f>
        <v>3</v>
      </c>
      <c r="D13" s="406"/>
      <c r="E13" s="407"/>
      <c r="F13" s="407"/>
      <c r="G13" s="407"/>
      <c r="H13" s="105"/>
      <c r="I13" s="429">
        <f>IF(C13="","",1)</f>
        <v>1</v>
      </c>
      <c r="J13" s="433" t="s">
        <v>140</v>
      </c>
      <c r="K13" s="431">
        <f>IF(OR(C13="",C13=1),"",C13)</f>
        <v>3</v>
      </c>
    </row>
    <row r="14" spans="1:14" ht="14.25" x14ac:dyDescent="0.15">
      <c r="A14" s="191" t="str">
        <f>IF(貼り付け!N3="","",貼り付け!N3)</f>
        <v>ＦＰＡ－３ (UN/16KG)</v>
      </c>
      <c r="B14" s="253"/>
      <c r="C14" s="412"/>
      <c r="D14" s="404"/>
      <c r="E14" s="405"/>
      <c r="F14" s="405"/>
      <c r="G14" s="405"/>
      <c r="H14" s="102"/>
      <c r="I14" s="430"/>
      <c r="J14" s="434"/>
      <c r="K14" s="432"/>
    </row>
    <row r="15" spans="1:14" ht="14.25" customHeight="1" x14ac:dyDescent="0.15">
      <c r="A15" s="187" t="str">
        <f>IF(貼り付け!M4="","",貼り付け!M4)</f>
        <v/>
      </c>
      <c r="B15" s="193"/>
      <c r="C15" s="189" t="str">
        <f>IF(貼り付け!R4="","",貼り付け!R4)</f>
        <v/>
      </c>
      <c r="D15" s="406"/>
      <c r="E15" s="407"/>
      <c r="F15" s="407"/>
      <c r="G15" s="407"/>
      <c r="H15" s="104"/>
      <c r="I15" s="429" t="str">
        <f>IF(C15="","",C13+C14+1)</f>
        <v/>
      </c>
      <c r="J15" s="433" t="s">
        <v>140</v>
      </c>
      <c r="K15" s="431" t="str">
        <f>IF(OR(C15="",C15=1),"",C13+C14+C15)</f>
        <v/>
      </c>
    </row>
    <row r="16" spans="1:14" ht="14.25" customHeight="1" x14ac:dyDescent="0.15">
      <c r="A16" s="196" t="str">
        <f>IF(貼り付け!N4="","",貼り付け!N4)</f>
        <v/>
      </c>
      <c r="B16" s="254"/>
      <c r="C16" s="190"/>
      <c r="D16" s="404"/>
      <c r="E16" s="405"/>
      <c r="F16" s="405"/>
      <c r="G16" s="405"/>
      <c r="H16" s="103"/>
      <c r="I16" s="430"/>
      <c r="J16" s="434"/>
      <c r="K16" s="432"/>
    </row>
    <row r="17" spans="1:11" ht="14.25" customHeight="1" x14ac:dyDescent="0.15">
      <c r="A17" s="187" t="str">
        <f>IF(貼り付け!M5="","",貼り付け!M5)</f>
        <v/>
      </c>
      <c r="B17" s="193"/>
      <c r="C17" s="189" t="str">
        <f>IF(貼り付け!R5="","",貼り付け!R5)</f>
        <v/>
      </c>
      <c r="D17" s="406"/>
      <c r="E17" s="407"/>
      <c r="F17" s="407"/>
      <c r="G17" s="407"/>
      <c r="H17" s="104"/>
      <c r="I17" s="429" t="str">
        <f t="shared" ref="I17" si="0">IF(C17="","",C15+C16+1)</f>
        <v/>
      </c>
      <c r="J17" s="433" t="s">
        <v>140</v>
      </c>
      <c r="K17" s="431" t="str">
        <f t="shared" ref="K17" si="1">IF(OR(C17="",C17=1),"",C15+C16+C17)</f>
        <v/>
      </c>
    </row>
    <row r="18" spans="1:11" ht="14.25" customHeight="1" x14ac:dyDescent="0.15">
      <c r="A18" s="196" t="str">
        <f>IF(貼り付け!N5="","",貼り付け!N5)</f>
        <v/>
      </c>
      <c r="B18" s="254"/>
      <c r="C18" s="190"/>
      <c r="D18" s="404"/>
      <c r="E18" s="405"/>
      <c r="F18" s="405"/>
      <c r="G18" s="405"/>
      <c r="H18" s="103"/>
      <c r="I18" s="430"/>
      <c r="J18" s="434"/>
      <c r="K18" s="432"/>
    </row>
    <row r="19" spans="1:11" ht="14.25" customHeight="1" x14ac:dyDescent="0.15">
      <c r="A19" s="187" t="str">
        <f>IF(貼り付け!M6="","",貼り付け!M6)</f>
        <v/>
      </c>
      <c r="B19" s="193"/>
      <c r="C19" s="189" t="str">
        <f>IF(貼り付け!R6="","",貼り付け!R6)</f>
        <v/>
      </c>
      <c r="D19" s="406"/>
      <c r="E19" s="407"/>
      <c r="F19" s="407"/>
      <c r="G19" s="407"/>
      <c r="H19" s="104"/>
      <c r="I19" s="429" t="str">
        <f t="shared" ref="I19" si="2">IF(C19="","",C17+C18+1)</f>
        <v/>
      </c>
      <c r="J19" s="433" t="s">
        <v>140</v>
      </c>
      <c r="K19" s="431" t="str">
        <f t="shared" ref="K19" si="3">IF(OR(C19="",C19=1),"",C17+C18+C19)</f>
        <v/>
      </c>
    </row>
    <row r="20" spans="1:11" ht="14.25" customHeight="1" x14ac:dyDescent="0.15">
      <c r="A20" s="191" t="str">
        <f>IF(貼り付け!N6="","",貼り付け!N6)</f>
        <v/>
      </c>
      <c r="B20" s="253"/>
      <c r="C20" s="190"/>
      <c r="D20" s="404"/>
      <c r="E20" s="405"/>
      <c r="F20" s="405"/>
      <c r="G20" s="405"/>
      <c r="H20" s="103"/>
      <c r="I20" s="430"/>
      <c r="J20" s="434"/>
      <c r="K20" s="432"/>
    </row>
    <row r="21" spans="1:11" ht="14.25" customHeight="1" x14ac:dyDescent="0.15">
      <c r="A21" s="187" t="str">
        <f>IF(貼り付け!M7="","",貼り付け!M7)</f>
        <v/>
      </c>
      <c r="B21" s="193"/>
      <c r="C21" s="189" t="str">
        <f>IF(貼り付け!R7="","",貼り付け!R7)</f>
        <v/>
      </c>
      <c r="D21" s="406"/>
      <c r="E21" s="407"/>
      <c r="F21" s="407"/>
      <c r="G21" s="407"/>
      <c r="H21" s="104"/>
      <c r="I21" s="429" t="str">
        <f t="shared" ref="I21" si="4">IF(C21="","",C19+C20+1)</f>
        <v/>
      </c>
      <c r="J21" s="433" t="s">
        <v>140</v>
      </c>
      <c r="K21" s="431" t="str">
        <f t="shared" ref="K21" si="5">IF(OR(C21="",C21=1),"",C19+C20+C21)</f>
        <v/>
      </c>
    </row>
    <row r="22" spans="1:11" ht="14.25" customHeight="1" x14ac:dyDescent="0.15">
      <c r="A22" s="191" t="str">
        <f>IF(貼り付け!N7="","",貼り付け!N7)</f>
        <v/>
      </c>
      <c r="B22" s="253"/>
      <c r="C22" s="190"/>
      <c r="D22" s="404"/>
      <c r="E22" s="405"/>
      <c r="F22" s="405"/>
      <c r="G22" s="405"/>
      <c r="H22" s="103"/>
      <c r="I22" s="430"/>
      <c r="J22" s="434"/>
      <c r="K22" s="432"/>
    </row>
    <row r="23" spans="1:11" ht="14.25" customHeight="1" x14ac:dyDescent="0.15">
      <c r="A23" s="187" t="str">
        <f>IF(貼り付け!M8="","",貼り付け!M8)</f>
        <v/>
      </c>
      <c r="B23" s="193"/>
      <c r="C23" s="189" t="str">
        <f>IF(貼り付け!R8="","",貼り付け!R8)</f>
        <v/>
      </c>
      <c r="D23" s="406"/>
      <c r="E23" s="407"/>
      <c r="F23" s="407"/>
      <c r="G23" s="407"/>
      <c r="H23" s="104"/>
      <c r="I23" s="429" t="str">
        <f t="shared" ref="I23" si="6">IF(C23="","",C21+C22+1)</f>
        <v/>
      </c>
      <c r="J23" s="433" t="s">
        <v>140</v>
      </c>
      <c r="K23" s="431" t="str">
        <f t="shared" ref="K23" si="7">IF(OR(C23="",C23=1),"",C21+C22+C23)</f>
        <v/>
      </c>
    </row>
    <row r="24" spans="1:11" ht="14.25" customHeight="1" x14ac:dyDescent="0.15">
      <c r="A24" s="191" t="str">
        <f>IF(貼り付け!N8="","",貼り付け!N8)</f>
        <v/>
      </c>
      <c r="B24" s="253"/>
      <c r="C24" s="190"/>
      <c r="D24" s="404"/>
      <c r="E24" s="405"/>
      <c r="F24" s="405"/>
      <c r="G24" s="405"/>
      <c r="H24" s="103"/>
      <c r="I24" s="430"/>
      <c r="J24" s="434"/>
      <c r="K24" s="432"/>
    </row>
    <row r="25" spans="1:11" ht="14.25" customHeight="1" x14ac:dyDescent="0.15">
      <c r="A25" s="187" t="str">
        <f>IF(貼り付け!M9="","",貼り付け!M9)</f>
        <v/>
      </c>
      <c r="B25" s="193"/>
      <c r="C25" s="189" t="str">
        <f>IF(貼り付け!R9="","",貼り付け!R9)</f>
        <v/>
      </c>
      <c r="D25" s="406"/>
      <c r="E25" s="407"/>
      <c r="F25" s="407"/>
      <c r="G25" s="407"/>
      <c r="H25" s="104"/>
      <c r="I25" s="429" t="str">
        <f t="shared" ref="I25" si="8">IF(C25="","",C23+C24+1)</f>
        <v/>
      </c>
      <c r="J25" s="433" t="s">
        <v>140</v>
      </c>
      <c r="K25" s="431" t="str">
        <f t="shared" ref="K25" si="9">IF(OR(C25="",C25=1),"",C23+C24+C25)</f>
        <v/>
      </c>
    </row>
    <row r="26" spans="1:11" ht="13.5" customHeight="1" x14ac:dyDescent="0.15">
      <c r="A26" s="191" t="str">
        <f>IF(貼り付け!N9="","",貼り付け!N9)</f>
        <v/>
      </c>
      <c r="B26" s="253"/>
      <c r="C26" s="190"/>
      <c r="D26" s="404"/>
      <c r="E26" s="405"/>
      <c r="F26" s="405"/>
      <c r="G26" s="405"/>
      <c r="H26" s="103"/>
      <c r="I26" s="430"/>
      <c r="J26" s="434"/>
      <c r="K26" s="432"/>
    </row>
    <row r="27" spans="1:11" ht="13.5" customHeight="1" x14ac:dyDescent="0.15">
      <c r="A27" s="187" t="str">
        <f>IF(貼り付け!M10="","",貼り付け!M10)</f>
        <v/>
      </c>
      <c r="B27" s="193"/>
      <c r="C27" s="189" t="str">
        <f>IF(貼り付け!R10="","",貼り付け!R10)</f>
        <v/>
      </c>
      <c r="D27" s="406"/>
      <c r="E27" s="407"/>
      <c r="F27" s="407"/>
      <c r="G27" s="407"/>
      <c r="H27" s="104"/>
      <c r="I27" s="429" t="str">
        <f t="shared" ref="I27" si="10">IF(C27="","",C25+C26+1)</f>
        <v/>
      </c>
      <c r="J27" s="433" t="s">
        <v>140</v>
      </c>
      <c r="K27" s="431" t="str">
        <f t="shared" ref="K27" si="11">IF(OR(C27="",C27=1),"",C25+C26+C27)</f>
        <v/>
      </c>
    </row>
    <row r="28" spans="1:11" ht="14.25" customHeight="1" x14ac:dyDescent="0.15">
      <c r="A28" s="191" t="str">
        <f>IF(貼り付け!N10="","",貼り付け!N10)</f>
        <v/>
      </c>
      <c r="B28" s="253"/>
      <c r="C28" s="190"/>
      <c r="D28" s="404"/>
      <c r="E28" s="405"/>
      <c r="F28" s="405"/>
      <c r="G28" s="405"/>
      <c r="H28" s="103"/>
      <c r="I28" s="430"/>
      <c r="J28" s="434"/>
      <c r="K28" s="432"/>
    </row>
    <row r="29" spans="1:11" ht="14.25" customHeight="1" x14ac:dyDescent="0.15">
      <c r="A29" s="187" t="str">
        <f>IF(貼り付け!M11="","",貼り付け!M11)</f>
        <v/>
      </c>
      <c r="B29" s="193"/>
      <c r="C29" s="189" t="str">
        <f>IF(貼り付け!R11="","",貼り付け!R11)</f>
        <v/>
      </c>
      <c r="D29" s="406"/>
      <c r="E29" s="407"/>
      <c r="F29" s="407"/>
      <c r="G29" s="407"/>
      <c r="H29" s="104"/>
      <c r="I29" s="429" t="str">
        <f t="shared" ref="I29" si="12">IF(C29="","",C27+C28+1)</f>
        <v/>
      </c>
      <c r="J29" s="433" t="s">
        <v>140</v>
      </c>
      <c r="K29" s="431" t="str">
        <f t="shared" ref="K29" si="13">IF(OR(C29="",C29=1),"",C27+C28+C29)</f>
        <v/>
      </c>
    </row>
    <row r="30" spans="1:11" ht="14.25" customHeight="1" x14ac:dyDescent="0.15">
      <c r="A30" s="191" t="str">
        <f>IF(貼り付け!N11="","",貼り付け!N11)</f>
        <v/>
      </c>
      <c r="B30" s="253"/>
      <c r="C30" s="190"/>
      <c r="D30" s="404"/>
      <c r="E30" s="405"/>
      <c r="F30" s="405"/>
      <c r="G30" s="405"/>
      <c r="H30" s="103"/>
      <c r="I30" s="430"/>
      <c r="J30" s="434"/>
      <c r="K30" s="432"/>
    </row>
    <row r="31" spans="1:11" ht="14.25" customHeight="1" x14ac:dyDescent="0.15">
      <c r="A31" s="187" t="str">
        <f>IF(貼り付け!M12="","",貼り付け!M12)</f>
        <v/>
      </c>
      <c r="B31" s="193"/>
      <c r="C31" s="189" t="str">
        <f>IF(貼り付け!R12="","",貼り付け!R12)</f>
        <v/>
      </c>
      <c r="D31" s="406"/>
      <c r="E31" s="407"/>
      <c r="F31" s="407"/>
      <c r="G31" s="407"/>
      <c r="H31" s="104"/>
      <c r="I31" s="429" t="str">
        <f t="shared" ref="I31" si="14">IF(C31="","",C29+C30+1)</f>
        <v/>
      </c>
      <c r="J31" s="433" t="s">
        <v>140</v>
      </c>
      <c r="K31" s="431" t="str">
        <f t="shared" ref="K31" si="15">IF(OR(C31="",C31=1),"",C29+C30+C31)</f>
        <v/>
      </c>
    </row>
    <row r="32" spans="1:11" ht="14.25" customHeight="1" x14ac:dyDescent="0.15">
      <c r="A32" s="191" t="str">
        <f>IF(貼り付け!N12="","",貼り付け!N12)</f>
        <v/>
      </c>
      <c r="B32" s="253"/>
      <c r="C32" s="190"/>
      <c r="D32" s="404"/>
      <c r="E32" s="405"/>
      <c r="F32" s="405"/>
      <c r="G32" s="405"/>
      <c r="H32" s="103"/>
      <c r="I32" s="430"/>
      <c r="J32" s="434"/>
      <c r="K32" s="432"/>
    </row>
    <row r="33" spans="1:11" ht="14.25" customHeight="1" x14ac:dyDescent="0.15">
      <c r="A33" s="187" t="str">
        <f>IF(貼り付け!M13="","",貼り付け!M13)</f>
        <v/>
      </c>
      <c r="B33" s="193"/>
      <c r="C33" s="189" t="str">
        <f>IF(貼り付け!R13="","",貼り付け!R13)</f>
        <v/>
      </c>
      <c r="D33" s="406"/>
      <c r="E33" s="407"/>
      <c r="F33" s="407"/>
      <c r="G33" s="407"/>
      <c r="H33" s="104"/>
      <c r="I33" s="429" t="str">
        <f t="shared" ref="I33" si="16">IF(C33="","",C31+C32+1)</f>
        <v/>
      </c>
      <c r="J33" s="433" t="s">
        <v>140</v>
      </c>
      <c r="K33" s="431" t="str">
        <f t="shared" ref="K33" si="17">IF(OR(C33="",C33=1),"",C31+C32+C33)</f>
        <v/>
      </c>
    </row>
    <row r="34" spans="1:11" ht="14.25" customHeight="1" x14ac:dyDescent="0.15">
      <c r="A34" s="191" t="str">
        <f>IF(貼り付け!N13="","",貼り付け!N13)</f>
        <v/>
      </c>
      <c r="B34" s="253"/>
      <c r="C34" s="190"/>
      <c r="D34" s="404"/>
      <c r="E34" s="405"/>
      <c r="F34" s="405"/>
      <c r="G34" s="405"/>
      <c r="H34" s="103"/>
      <c r="I34" s="430"/>
      <c r="J34" s="434"/>
      <c r="K34" s="432"/>
    </row>
    <row r="35" spans="1:11" ht="14.25" customHeight="1" x14ac:dyDescent="0.15">
      <c r="A35" s="187" t="str">
        <f>IF(貼り付け!M14="","",貼り付け!M14)</f>
        <v/>
      </c>
      <c r="B35" s="193"/>
      <c r="C35" s="189" t="str">
        <f>IF(貼り付け!R14="","",貼り付け!R14)</f>
        <v/>
      </c>
      <c r="D35" s="406"/>
      <c r="E35" s="407"/>
      <c r="F35" s="407"/>
      <c r="G35" s="407"/>
      <c r="H35" s="104"/>
      <c r="I35" s="429" t="str">
        <f t="shared" ref="I35" si="18">IF(C35="","",C33+C34+1)</f>
        <v/>
      </c>
      <c r="J35" s="433" t="s">
        <v>140</v>
      </c>
      <c r="K35" s="431" t="str">
        <f t="shared" ref="K35" si="19">IF(OR(C35="",C35=1),"",C33+C34+C35)</f>
        <v/>
      </c>
    </row>
    <row r="36" spans="1:11" ht="15" customHeight="1" thickBot="1" x14ac:dyDescent="0.2">
      <c r="A36" s="249" t="str">
        <f>IF(貼り付け!N14="","",貼り付け!N14)</f>
        <v/>
      </c>
      <c r="B36" s="250"/>
      <c r="C36" s="248"/>
      <c r="D36" s="427"/>
      <c r="E36" s="428"/>
      <c r="F36" s="428"/>
      <c r="G36" s="428"/>
      <c r="H36" s="106"/>
      <c r="I36" s="435"/>
      <c r="J36" s="436"/>
      <c r="K36" s="437"/>
    </row>
    <row r="37" spans="1:11" ht="30" customHeight="1" thickBot="1" x14ac:dyDescent="0.2">
      <c r="A37" s="16" t="s">
        <v>64</v>
      </c>
      <c r="B37" s="313">
        <f>SUM(C13:C36)</f>
        <v>3</v>
      </c>
      <c r="C37" s="314"/>
      <c r="D37" s="415" t="s">
        <v>66</v>
      </c>
      <c r="E37" s="416"/>
      <c r="F37" s="316"/>
      <c r="G37" s="330"/>
      <c r="H37" s="330"/>
      <c r="I37" s="330"/>
      <c r="J37" s="330"/>
      <c r="K37" s="417"/>
    </row>
    <row r="38" spans="1:11" ht="15" customHeight="1" x14ac:dyDescent="0.15">
      <c r="D38" s="274" t="s">
        <v>2</v>
      </c>
      <c r="E38" s="275"/>
      <c r="F38" s="368">
        <f>B5</f>
        <v>20170804</v>
      </c>
      <c r="G38" s="378"/>
      <c r="H38" s="378"/>
      <c r="I38" s="378"/>
      <c r="J38" s="378"/>
      <c r="K38" s="379"/>
    </row>
    <row r="39" spans="1:11" ht="15" customHeight="1" x14ac:dyDescent="0.15">
      <c r="D39" s="171"/>
      <c r="E39" s="172"/>
      <c r="F39" s="356"/>
      <c r="G39" s="380"/>
      <c r="H39" s="380"/>
      <c r="I39" s="380"/>
      <c r="J39" s="380"/>
      <c r="K39" s="381"/>
    </row>
  </sheetData>
  <mergeCells count="129">
    <mergeCell ref="K27:K28"/>
    <mergeCell ref="K29:K30"/>
    <mergeCell ref="K31:K32"/>
    <mergeCell ref="K33:K34"/>
    <mergeCell ref="K35:K36"/>
    <mergeCell ref="K17:K18"/>
    <mergeCell ref="K19:K20"/>
    <mergeCell ref="K21:K22"/>
    <mergeCell ref="K23:K24"/>
    <mergeCell ref="K25:K26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D35:G35"/>
    <mergeCell ref="D36:G36"/>
    <mergeCell ref="I13:I14"/>
    <mergeCell ref="K13:K14"/>
    <mergeCell ref="J13:J14"/>
    <mergeCell ref="I15:I16"/>
    <mergeCell ref="K15:K16"/>
    <mergeCell ref="J15:J16"/>
    <mergeCell ref="I17:I18"/>
    <mergeCell ref="I19:I20"/>
    <mergeCell ref="I21:I22"/>
    <mergeCell ref="I23:I24"/>
    <mergeCell ref="I25:I26"/>
    <mergeCell ref="I27:I28"/>
    <mergeCell ref="I29:I30"/>
    <mergeCell ref="I31:I32"/>
    <mergeCell ref="D30:G30"/>
    <mergeCell ref="D31:G31"/>
    <mergeCell ref="D32:G32"/>
    <mergeCell ref="D33:G33"/>
    <mergeCell ref="D34:G34"/>
    <mergeCell ref="I33:I34"/>
    <mergeCell ref="I35:I36"/>
    <mergeCell ref="J17:J18"/>
    <mergeCell ref="B37:C37"/>
    <mergeCell ref="A35:B35"/>
    <mergeCell ref="C35:C36"/>
    <mergeCell ref="A36:B36"/>
    <mergeCell ref="A33:B33"/>
    <mergeCell ref="C33:C34"/>
    <mergeCell ref="A34:B34"/>
    <mergeCell ref="A31:B31"/>
    <mergeCell ref="C31:C32"/>
    <mergeCell ref="A32:B32"/>
    <mergeCell ref="A19:B19"/>
    <mergeCell ref="D18:G18"/>
    <mergeCell ref="D19:G19"/>
    <mergeCell ref="A20:B20"/>
    <mergeCell ref="A21:B21"/>
    <mergeCell ref="D20:G20"/>
    <mergeCell ref="D21:G21"/>
    <mergeCell ref="A29:B29"/>
    <mergeCell ref="C29:C30"/>
    <mergeCell ref="A30:B30"/>
    <mergeCell ref="A27:B27"/>
    <mergeCell ref="C27:C28"/>
    <mergeCell ref="A28:B28"/>
    <mergeCell ref="C23:C24"/>
    <mergeCell ref="A25:B25"/>
    <mergeCell ref="C25:C26"/>
    <mergeCell ref="A26:B26"/>
    <mergeCell ref="A24:B24"/>
    <mergeCell ref="A23:B23"/>
    <mergeCell ref="F5:K5"/>
    <mergeCell ref="B8:K8"/>
    <mergeCell ref="A9:A10"/>
    <mergeCell ref="B10:E10"/>
    <mergeCell ref="G10:K10"/>
    <mergeCell ref="I9:K9"/>
    <mergeCell ref="E7:I7"/>
    <mergeCell ref="J7:K7"/>
    <mergeCell ref="C6:K6"/>
    <mergeCell ref="A1:K1"/>
    <mergeCell ref="D37:E37"/>
    <mergeCell ref="F37:K37"/>
    <mergeCell ref="B3:C3"/>
    <mergeCell ref="D3:E3"/>
    <mergeCell ref="F3:K3"/>
    <mergeCell ref="B2:C2"/>
    <mergeCell ref="D2:E2"/>
    <mergeCell ref="F2:K2"/>
    <mergeCell ref="B4:C4"/>
    <mergeCell ref="D4:K4"/>
    <mergeCell ref="B5:C5"/>
    <mergeCell ref="B7:C7"/>
    <mergeCell ref="B9:E9"/>
    <mergeCell ref="D5:E5"/>
    <mergeCell ref="A16:B16"/>
    <mergeCell ref="A17:B17"/>
    <mergeCell ref="D16:G16"/>
    <mergeCell ref="D17:G17"/>
    <mergeCell ref="A12:B12"/>
    <mergeCell ref="A13:B13"/>
    <mergeCell ref="D13:G13"/>
    <mergeCell ref="D12:H12"/>
    <mergeCell ref="A14:B14"/>
    <mergeCell ref="A15:B15"/>
    <mergeCell ref="D14:G14"/>
    <mergeCell ref="D15:G15"/>
    <mergeCell ref="M10:N10"/>
    <mergeCell ref="D38:E39"/>
    <mergeCell ref="F38:K39"/>
    <mergeCell ref="D22:G22"/>
    <mergeCell ref="D23:G23"/>
    <mergeCell ref="D24:G24"/>
    <mergeCell ref="M11:N11"/>
    <mergeCell ref="I12:K12"/>
    <mergeCell ref="D25:G25"/>
    <mergeCell ref="D26:G26"/>
    <mergeCell ref="D27:G27"/>
    <mergeCell ref="D28:G28"/>
    <mergeCell ref="D29:G29"/>
    <mergeCell ref="C19:C20"/>
    <mergeCell ref="C21:C22"/>
    <mergeCell ref="C13:C14"/>
    <mergeCell ref="C15:C16"/>
    <mergeCell ref="C17:C18"/>
    <mergeCell ref="A22:B22"/>
    <mergeCell ref="E11:K11"/>
    <mergeCell ref="A18:B18"/>
  </mergeCells>
  <phoneticPr fontId="1"/>
  <pageMargins left="0.71" right="0.4" top="0.88" bottom="0.43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28"/>
  <sheetViews>
    <sheetView workbookViewId="0">
      <selection activeCell="A13" sqref="A13:B13"/>
    </sheetView>
  </sheetViews>
  <sheetFormatPr defaultRowHeight="13.5" x14ac:dyDescent="0.15"/>
  <cols>
    <col min="1" max="1" width="13" customWidth="1"/>
    <col min="2" max="2" width="18.75" customWidth="1"/>
    <col min="3" max="3" width="9.625" customWidth="1"/>
    <col min="4" max="4" width="8.125" customWidth="1"/>
    <col min="6" max="6" width="6.125" customWidth="1"/>
    <col min="7" max="7" width="6.25" customWidth="1"/>
    <col min="8" max="8" width="4.625" customWidth="1"/>
    <col min="9" max="9" width="4" customWidth="1"/>
    <col min="10" max="10" width="2.125" customWidth="1"/>
    <col min="11" max="11" width="4" customWidth="1"/>
  </cols>
  <sheetData>
    <row r="1" spans="1:11" ht="29.25" customHeight="1" thickBot="1" x14ac:dyDescent="0.2">
      <c r="A1" s="221" t="s">
        <v>67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2" spans="1:11" ht="30" customHeight="1" x14ac:dyDescent="0.15">
      <c r="A2" s="41" t="s">
        <v>4</v>
      </c>
      <c r="B2" s="4">
        <f>貼り付け!B3</f>
        <v>20170802</v>
      </c>
      <c r="C2" s="263" t="s">
        <v>3</v>
      </c>
      <c r="D2" s="300"/>
      <c r="E2" s="301" t="str">
        <f>貼り付け!A3</f>
        <v>J708000739</v>
      </c>
      <c r="F2" s="285"/>
      <c r="G2" s="285"/>
      <c r="H2" s="285"/>
      <c r="I2" s="285"/>
      <c r="J2" s="285"/>
      <c r="K2" s="302"/>
    </row>
    <row r="3" spans="1:11" ht="30" customHeight="1" x14ac:dyDescent="0.15">
      <c r="A3" s="20" t="s">
        <v>62</v>
      </c>
      <c r="B3" s="222" t="str">
        <f>IF(ISNA(VLOOKUP(B4,納入先名２!$A$1:$D$51,4,FALSE)),"",VLOOKUP(B4,納入先名２!$A$1:$D$51,4,FALSE))</f>
        <v/>
      </c>
      <c r="C3" s="222"/>
      <c r="D3" s="242" t="s">
        <v>63</v>
      </c>
      <c r="E3" s="260"/>
      <c r="F3" s="237"/>
      <c r="G3" s="239"/>
      <c r="H3" s="239"/>
      <c r="I3" s="239"/>
      <c r="J3" s="239"/>
      <c r="K3" s="240"/>
    </row>
    <row r="4" spans="1:11" ht="30" customHeight="1" x14ac:dyDescent="0.15">
      <c r="A4" s="20" t="s">
        <v>1</v>
      </c>
      <c r="B4" s="6" t="str">
        <f>貼り付け!G3</f>
        <v>PHT01</v>
      </c>
      <c r="C4" s="222" t="str">
        <f>IF(ISNA(VLOOKUP(B4,納入先名２!A1:'納入先名２'!B14,2,FALSE)),"",VLOOKUP(B4,納入先名２!A1:'納入先名２'!B14,2,FALSE))</f>
        <v/>
      </c>
      <c r="D4" s="222"/>
      <c r="E4" s="222"/>
      <c r="F4" s="222"/>
      <c r="G4" s="222"/>
      <c r="H4" s="222"/>
      <c r="I4" s="222"/>
      <c r="J4" s="222"/>
      <c r="K4" s="261"/>
    </row>
    <row r="5" spans="1:11" ht="30" customHeight="1" x14ac:dyDescent="0.15">
      <c r="A5" s="20" t="s">
        <v>2</v>
      </c>
      <c r="B5" s="5">
        <f>貼り付け!P3</f>
        <v>20170804</v>
      </c>
      <c r="C5" s="22" t="s">
        <v>58</v>
      </c>
      <c r="D5" s="438" t="str">
        <f>貼り付け!S3</f>
        <v>8/7納期</v>
      </c>
      <c r="E5" s="438"/>
      <c r="F5" s="438"/>
      <c r="G5" s="438"/>
      <c r="H5" s="438"/>
      <c r="I5" s="438"/>
      <c r="J5" s="438"/>
      <c r="K5" s="439"/>
    </row>
    <row r="6" spans="1:11" ht="30" customHeight="1" x14ac:dyDescent="0.15">
      <c r="A6" s="20" t="s">
        <v>60</v>
      </c>
      <c r="B6" s="222"/>
      <c r="C6" s="222"/>
      <c r="D6" s="222"/>
      <c r="E6" s="222"/>
      <c r="F6" s="222"/>
      <c r="G6" s="222"/>
      <c r="H6" s="222"/>
      <c r="I6" s="222"/>
      <c r="J6" s="222"/>
      <c r="K6" s="261"/>
    </row>
    <row r="7" spans="1:11" ht="30" customHeight="1" x14ac:dyDescent="0.15">
      <c r="A7" s="20" t="s">
        <v>5</v>
      </c>
      <c r="B7" s="237" t="str">
        <f>貼り付け!C3</f>
        <v>タミヤ様分</v>
      </c>
      <c r="C7" s="259"/>
      <c r="D7" s="22" t="s">
        <v>59</v>
      </c>
      <c r="E7" s="237" t="str">
        <f>貼り付け!E3</f>
        <v>伊坂化成株式会社　藤枝</v>
      </c>
      <c r="F7" s="264"/>
      <c r="G7" s="264"/>
      <c r="H7" s="239"/>
      <c r="I7" s="239"/>
      <c r="J7" s="239"/>
      <c r="K7" s="240"/>
    </row>
    <row r="8" spans="1:11" ht="30" customHeight="1" x14ac:dyDescent="0.15">
      <c r="A8" s="20" t="s">
        <v>8</v>
      </c>
      <c r="B8" s="237" t="str">
        <f>貼り付け!H3</f>
        <v>アオキトランス㈱興津ターミナル事務所</v>
      </c>
      <c r="C8" s="264"/>
      <c r="D8" s="264"/>
      <c r="E8" s="239"/>
      <c r="F8" s="239"/>
      <c r="G8" s="239"/>
      <c r="H8" s="239" t="str">
        <f>IF(貼り付け!I3="","",貼り付け!I3)</f>
        <v/>
      </c>
      <c r="I8" s="239"/>
      <c r="J8" s="239"/>
      <c r="K8" s="240"/>
    </row>
    <row r="9" spans="1:11" ht="30" customHeight="1" x14ac:dyDescent="0.15">
      <c r="A9" s="20" t="s">
        <v>9</v>
      </c>
      <c r="B9" s="237" t="str">
        <f>貼り付け!J3</f>
        <v>静岡市清水区興津清見寺１３７５－１６</v>
      </c>
      <c r="C9" s="264"/>
      <c r="D9" s="264"/>
      <c r="E9" s="264"/>
      <c r="F9" s="38" t="s">
        <v>141</v>
      </c>
      <c r="G9" s="9">
        <f>IF(ISNA(VLOOKUP(B4,納入先名,6,FALSE)),"",VLOOKUP(B4,納入先名,6,FALSE))</f>
        <v>424</v>
      </c>
      <c r="H9" s="9" t="s">
        <v>142</v>
      </c>
      <c r="I9" s="239" t="str">
        <f>IF(ISNA(VLOOKUP(B4,納入先名,7,FALSE)),"",VLOOKUP(B4,納入先名,7,FALSE))</f>
        <v>0206</v>
      </c>
      <c r="J9" s="239"/>
      <c r="K9" s="240"/>
    </row>
    <row r="10" spans="1:11" ht="30" customHeight="1" thickBot="1" x14ac:dyDescent="0.2">
      <c r="A10" s="21" t="s">
        <v>143</v>
      </c>
      <c r="B10" s="441" t="str">
        <f>貼り付け!L3</f>
        <v>054-369-6666</v>
      </c>
      <c r="C10" s="442"/>
      <c r="D10" s="46"/>
      <c r="E10" s="441"/>
      <c r="F10" s="443"/>
      <c r="G10" s="443"/>
      <c r="H10" s="443"/>
      <c r="I10" s="443"/>
      <c r="J10" s="443"/>
      <c r="K10" s="444"/>
    </row>
    <row r="11" spans="1:11" ht="30" customHeight="1" thickBot="1" x14ac:dyDescent="0.2">
      <c r="A11" s="1"/>
      <c r="B11" s="1"/>
      <c r="C11" s="1"/>
      <c r="D11" s="1"/>
    </row>
    <row r="12" spans="1:11" ht="30" customHeight="1" x14ac:dyDescent="0.15">
      <c r="A12" s="207" t="s">
        <v>6</v>
      </c>
      <c r="B12" s="208"/>
      <c r="C12" s="39" t="s">
        <v>7</v>
      </c>
      <c r="D12" s="209" t="s">
        <v>10</v>
      </c>
      <c r="E12" s="210"/>
      <c r="F12" s="210"/>
      <c r="G12" s="210"/>
      <c r="H12" s="211"/>
      <c r="I12" s="263" t="s">
        <v>320</v>
      </c>
      <c r="J12" s="286"/>
      <c r="K12" s="287"/>
    </row>
    <row r="13" spans="1:11" ht="30" customHeight="1" x14ac:dyDescent="0.15">
      <c r="A13" s="358" t="str">
        <f>貼り付け!M3&amp;CHAR(10)&amp;IF(貼り付け!N3="","",貼り付け!N3)</f>
        <v>S1-FPA3-U-EX
ＦＰＡ－３ (UN/16KG)</v>
      </c>
      <c r="B13" s="359"/>
      <c r="C13" s="2">
        <f>IF(貼り付け!R3="","",貼り付け!R3)</f>
        <v>3</v>
      </c>
      <c r="D13" s="440"/>
      <c r="E13" s="239"/>
      <c r="F13" s="239"/>
      <c r="G13" s="238"/>
      <c r="H13" s="17"/>
      <c r="I13" s="8">
        <f t="shared" ref="I13:I24" si="0">IF(C13="","",1)</f>
        <v>1</v>
      </c>
      <c r="J13" s="9" t="s">
        <v>140</v>
      </c>
      <c r="K13" s="10">
        <f>IF(C13=1,"",C13)</f>
        <v>3</v>
      </c>
    </row>
    <row r="14" spans="1:11" ht="30" customHeight="1" x14ac:dyDescent="0.15">
      <c r="A14" s="358" t="str">
        <f>貼り付け!M4&amp;CHAR(10)&amp;IF(貼り付け!N4="","",貼り付け!N4)</f>
        <v xml:space="preserve">
</v>
      </c>
      <c r="B14" s="359"/>
      <c r="C14" s="2" t="str">
        <f>IF(貼り付け!R4="","",貼り付け!R4)</f>
        <v/>
      </c>
      <c r="D14" s="440"/>
      <c r="E14" s="239"/>
      <c r="F14" s="239"/>
      <c r="G14" s="238"/>
      <c r="H14" s="17"/>
      <c r="I14" s="8" t="str">
        <f t="shared" si="0"/>
        <v/>
      </c>
      <c r="J14" s="9" t="s">
        <v>140</v>
      </c>
      <c r="K14" s="10" t="str">
        <f t="shared" ref="K14:K24" si="1">IF(C14=1,"",C14)</f>
        <v/>
      </c>
    </row>
    <row r="15" spans="1:11" ht="30" customHeight="1" x14ac:dyDescent="0.15">
      <c r="A15" s="358" t="str">
        <f>貼り付け!M5&amp;CHAR(10)&amp;IF(貼り付け!N5="","",貼り付け!N5)</f>
        <v xml:space="preserve">
</v>
      </c>
      <c r="B15" s="359"/>
      <c r="C15" s="2" t="str">
        <f>IF(貼り付け!R5="","",貼り付け!R5)</f>
        <v/>
      </c>
      <c r="D15" s="440"/>
      <c r="E15" s="239"/>
      <c r="F15" s="239"/>
      <c r="G15" s="238"/>
      <c r="H15" s="17"/>
      <c r="I15" s="8" t="str">
        <f t="shared" si="0"/>
        <v/>
      </c>
      <c r="J15" s="9" t="s">
        <v>140</v>
      </c>
      <c r="K15" s="10" t="str">
        <f t="shared" si="1"/>
        <v/>
      </c>
    </row>
    <row r="16" spans="1:11" ht="30" customHeight="1" x14ac:dyDescent="0.15">
      <c r="A16" s="358" t="str">
        <f>貼り付け!M6&amp;CHAR(10)&amp;IF(貼り付け!N6="","",貼り付け!N6)</f>
        <v xml:space="preserve">
</v>
      </c>
      <c r="B16" s="359"/>
      <c r="C16" s="2" t="str">
        <f>IF(貼り付け!R6="","",貼り付け!R6)</f>
        <v/>
      </c>
      <c r="D16" s="440"/>
      <c r="E16" s="239"/>
      <c r="F16" s="239"/>
      <c r="G16" s="238"/>
      <c r="H16" s="17"/>
      <c r="I16" s="8" t="str">
        <f t="shared" si="0"/>
        <v/>
      </c>
      <c r="J16" s="9" t="s">
        <v>140</v>
      </c>
      <c r="K16" s="10" t="str">
        <f t="shared" si="1"/>
        <v/>
      </c>
    </row>
    <row r="17" spans="1:11" ht="30" customHeight="1" x14ac:dyDescent="0.15">
      <c r="A17" s="358" t="str">
        <f>貼り付け!M7&amp;CHAR(10)&amp;IF(貼り付け!N7="","",貼り付け!N7)</f>
        <v xml:space="preserve">
</v>
      </c>
      <c r="B17" s="359"/>
      <c r="C17" s="2" t="str">
        <f>IF(貼り付け!R7="","",貼り付け!R7)</f>
        <v/>
      </c>
      <c r="D17" s="440"/>
      <c r="E17" s="239"/>
      <c r="F17" s="239"/>
      <c r="G17" s="238"/>
      <c r="H17" s="17"/>
      <c r="I17" s="8" t="str">
        <f t="shared" si="0"/>
        <v/>
      </c>
      <c r="J17" s="9" t="s">
        <v>140</v>
      </c>
      <c r="K17" s="10" t="str">
        <f t="shared" si="1"/>
        <v/>
      </c>
    </row>
    <row r="18" spans="1:11" ht="30" customHeight="1" x14ac:dyDescent="0.15">
      <c r="A18" s="358" t="str">
        <f>貼り付け!M8&amp;CHAR(10)&amp;IF(貼り付け!N8="","",貼り付け!N8)</f>
        <v xml:space="preserve">
</v>
      </c>
      <c r="B18" s="359"/>
      <c r="C18" s="2" t="str">
        <f>IF(貼り付け!R8="","",貼り付け!R8)</f>
        <v/>
      </c>
      <c r="D18" s="440"/>
      <c r="E18" s="239"/>
      <c r="F18" s="239"/>
      <c r="G18" s="238"/>
      <c r="H18" s="17"/>
      <c r="I18" s="8" t="str">
        <f t="shared" si="0"/>
        <v/>
      </c>
      <c r="J18" s="9" t="s">
        <v>140</v>
      </c>
      <c r="K18" s="10" t="str">
        <f t="shared" si="1"/>
        <v/>
      </c>
    </row>
    <row r="19" spans="1:11" ht="30" customHeight="1" x14ac:dyDescent="0.15">
      <c r="A19" s="358" t="str">
        <f>貼り付け!M9&amp;CHAR(10)&amp;IF(貼り付け!N9="","",貼り付け!N9)</f>
        <v xml:space="preserve">
</v>
      </c>
      <c r="B19" s="359"/>
      <c r="C19" s="2" t="str">
        <f>IF(貼り付け!R9="","",貼り付け!R9)</f>
        <v/>
      </c>
      <c r="D19" s="440"/>
      <c r="E19" s="239"/>
      <c r="F19" s="239"/>
      <c r="G19" s="238"/>
      <c r="H19" s="17"/>
      <c r="I19" s="8" t="str">
        <f t="shared" si="0"/>
        <v/>
      </c>
      <c r="J19" s="9" t="s">
        <v>140</v>
      </c>
      <c r="K19" s="10" t="str">
        <f t="shared" si="1"/>
        <v/>
      </c>
    </row>
    <row r="20" spans="1:11" ht="30" customHeight="1" x14ac:dyDescent="0.15">
      <c r="A20" s="358" t="str">
        <f>貼り付け!M10&amp;CHAR(10)&amp;IF(貼り付け!N10="","",貼り付け!N10)</f>
        <v xml:space="preserve">
</v>
      </c>
      <c r="B20" s="359"/>
      <c r="C20" s="2" t="str">
        <f>IF(貼り付け!R10="","",貼り付け!R10)</f>
        <v/>
      </c>
      <c r="D20" s="440"/>
      <c r="E20" s="239"/>
      <c r="F20" s="239"/>
      <c r="G20" s="238"/>
      <c r="H20" s="17"/>
      <c r="I20" s="8" t="str">
        <f t="shared" si="0"/>
        <v/>
      </c>
      <c r="J20" s="9" t="s">
        <v>140</v>
      </c>
      <c r="K20" s="10" t="str">
        <f t="shared" si="1"/>
        <v/>
      </c>
    </row>
    <row r="21" spans="1:11" ht="30" customHeight="1" x14ac:dyDescent="0.15">
      <c r="A21" s="358" t="str">
        <f>貼り付け!M11&amp;CHAR(10)&amp;IF(貼り付け!N11="","",貼り付け!N11)</f>
        <v xml:space="preserve">
</v>
      </c>
      <c r="B21" s="359"/>
      <c r="C21" s="2" t="str">
        <f>IF(貼り付け!R11="","",貼り付け!R11)</f>
        <v/>
      </c>
      <c r="D21" s="440"/>
      <c r="E21" s="239"/>
      <c r="F21" s="239"/>
      <c r="G21" s="238"/>
      <c r="H21" s="17"/>
      <c r="I21" s="8" t="str">
        <f t="shared" si="0"/>
        <v/>
      </c>
      <c r="J21" s="9" t="s">
        <v>140</v>
      </c>
      <c r="K21" s="10" t="str">
        <f t="shared" si="1"/>
        <v/>
      </c>
    </row>
    <row r="22" spans="1:11" ht="30" customHeight="1" x14ac:dyDescent="0.15">
      <c r="A22" s="358" t="str">
        <f>貼り付け!M12&amp;CHAR(10)&amp;IF(貼り付け!N12="","",貼り付け!N12)</f>
        <v xml:space="preserve">
</v>
      </c>
      <c r="B22" s="359"/>
      <c r="C22" s="2" t="str">
        <f>IF(貼り付け!R12="","",貼り付け!R12)</f>
        <v/>
      </c>
      <c r="D22" s="440"/>
      <c r="E22" s="239"/>
      <c r="F22" s="239"/>
      <c r="G22" s="238"/>
      <c r="H22" s="17"/>
      <c r="I22" s="8" t="str">
        <f t="shared" si="0"/>
        <v/>
      </c>
      <c r="J22" s="9" t="s">
        <v>140</v>
      </c>
      <c r="K22" s="10" t="str">
        <f t="shared" si="1"/>
        <v/>
      </c>
    </row>
    <row r="23" spans="1:11" ht="30" customHeight="1" x14ac:dyDescent="0.15">
      <c r="A23" s="358" t="str">
        <f>貼り付け!M13&amp;CHAR(10)&amp;IF(貼り付け!N13="","",貼り付け!N13)</f>
        <v xml:space="preserve">
</v>
      </c>
      <c r="B23" s="359"/>
      <c r="C23" s="2" t="str">
        <f>IF(貼り付け!R13="","",貼り付け!R13)</f>
        <v/>
      </c>
      <c r="D23" s="440"/>
      <c r="E23" s="239"/>
      <c r="F23" s="239"/>
      <c r="G23" s="238"/>
      <c r="H23" s="17"/>
      <c r="I23" s="8" t="str">
        <f t="shared" si="0"/>
        <v/>
      </c>
      <c r="J23" s="9" t="s">
        <v>140</v>
      </c>
      <c r="K23" s="10" t="str">
        <f t="shared" si="1"/>
        <v/>
      </c>
    </row>
    <row r="24" spans="1:11" ht="30" customHeight="1" thickBot="1" x14ac:dyDescent="0.2">
      <c r="A24" s="358" t="str">
        <f>貼り付け!M14&amp;CHAR(10)&amp;IF(貼り付け!N14="","",貼り付け!N14)</f>
        <v xml:space="preserve">
</v>
      </c>
      <c r="B24" s="359"/>
      <c r="C24" s="2" t="str">
        <f>IF(貼り付け!R14="","",貼り付け!R14)</f>
        <v/>
      </c>
      <c r="D24" s="440"/>
      <c r="E24" s="239"/>
      <c r="F24" s="239"/>
      <c r="G24" s="238"/>
      <c r="H24" s="17"/>
      <c r="I24" s="23" t="str">
        <f t="shared" si="0"/>
        <v/>
      </c>
      <c r="J24" s="24" t="s">
        <v>140</v>
      </c>
      <c r="K24" s="10" t="str">
        <f t="shared" si="1"/>
        <v/>
      </c>
    </row>
    <row r="25" spans="1:11" ht="30" customHeight="1" thickBot="1" x14ac:dyDescent="0.2">
      <c r="A25" s="3" t="s">
        <v>64</v>
      </c>
      <c r="B25" s="163">
        <f>SUM(C13:C24)</f>
        <v>3</v>
      </c>
      <c r="C25" s="164"/>
      <c r="D25" s="165" t="s">
        <v>66</v>
      </c>
      <c r="E25" s="445"/>
      <c r="F25" s="446"/>
      <c r="G25" s="167"/>
      <c r="H25" s="167"/>
      <c r="I25" s="167"/>
      <c r="J25" s="167"/>
      <c r="K25" s="168"/>
    </row>
    <row r="26" spans="1:11" ht="27.75" customHeight="1" thickBot="1" x14ac:dyDescent="0.2">
      <c r="D26" s="165" t="s">
        <v>2</v>
      </c>
      <c r="E26" s="445"/>
      <c r="F26" s="447">
        <f>貼り付け!P3</f>
        <v>20170804</v>
      </c>
      <c r="G26" s="167"/>
      <c r="H26" s="167"/>
      <c r="I26" s="167"/>
      <c r="J26" s="167"/>
      <c r="K26" s="168"/>
    </row>
    <row r="27" spans="1:11" ht="17.25" x14ac:dyDescent="0.15">
      <c r="A27" s="31" t="s">
        <v>112</v>
      </c>
      <c r="F27" s="45"/>
      <c r="G27" s="40"/>
      <c r="H27" s="40"/>
      <c r="I27" s="40"/>
      <c r="J27" s="40"/>
      <c r="K27" s="45"/>
    </row>
    <row r="28" spans="1:11" x14ac:dyDescent="0.15">
      <c r="F28" s="30"/>
      <c r="G28" s="30"/>
      <c r="H28" s="30"/>
      <c r="I28" s="30"/>
      <c r="J28" s="30"/>
      <c r="K28" s="30"/>
    </row>
  </sheetData>
  <mergeCells count="48">
    <mergeCell ref="A23:B23"/>
    <mergeCell ref="A24:B24"/>
    <mergeCell ref="D23:G23"/>
    <mergeCell ref="D24:G24"/>
    <mergeCell ref="B8:K8"/>
    <mergeCell ref="A21:B21"/>
    <mergeCell ref="A22:B22"/>
    <mergeCell ref="D21:G21"/>
    <mergeCell ref="D22:G22"/>
    <mergeCell ref="A19:B19"/>
    <mergeCell ref="A20:B20"/>
    <mergeCell ref="D19:G19"/>
    <mergeCell ref="D20:G20"/>
    <mergeCell ref="A17:B17"/>
    <mergeCell ref="A18:B18"/>
    <mergeCell ref="D17:G17"/>
    <mergeCell ref="D26:E26"/>
    <mergeCell ref="F25:K25"/>
    <mergeCell ref="B25:C25"/>
    <mergeCell ref="D25:E25"/>
    <mergeCell ref="F26:K26"/>
    <mergeCell ref="D18:G18"/>
    <mergeCell ref="A15:B15"/>
    <mergeCell ref="A16:B16"/>
    <mergeCell ref="D15:G15"/>
    <mergeCell ref="D16:G16"/>
    <mergeCell ref="A13:B13"/>
    <mergeCell ref="A14:B14"/>
    <mergeCell ref="D13:G13"/>
    <mergeCell ref="D14:G14"/>
    <mergeCell ref="B10:C10"/>
    <mergeCell ref="E10:K10"/>
    <mergeCell ref="A12:B12"/>
    <mergeCell ref="D12:H12"/>
    <mergeCell ref="I12:K12"/>
    <mergeCell ref="B9:E9"/>
    <mergeCell ref="I9:K9"/>
    <mergeCell ref="C4:K4"/>
    <mergeCell ref="D5:K5"/>
    <mergeCell ref="B6:K6"/>
    <mergeCell ref="B7:C7"/>
    <mergeCell ref="E7:K7"/>
    <mergeCell ref="A1:K1"/>
    <mergeCell ref="C2:D2"/>
    <mergeCell ref="E2:K2"/>
    <mergeCell ref="B3:C3"/>
    <mergeCell ref="D3:E3"/>
    <mergeCell ref="F3:K3"/>
  </mergeCells>
  <phoneticPr fontId="1"/>
  <pageMargins left="0.78700000000000003" right="0.78700000000000003" top="0.87" bottom="0.51" header="0.51200000000000001" footer="0.51200000000000001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O18" sqref="O18"/>
    </sheetView>
  </sheetViews>
  <sheetFormatPr defaultRowHeight="13.5" x14ac:dyDescent="0.15"/>
  <cols>
    <col min="1" max="1" width="11.5" customWidth="1"/>
    <col min="2" max="2" width="24.25" customWidth="1"/>
    <col min="3" max="3" width="9.125" customWidth="1"/>
    <col min="4" max="4" width="10.625" customWidth="1"/>
    <col min="5" max="5" width="1.875" customWidth="1"/>
    <col min="6" max="6" width="5.75" customWidth="1"/>
    <col min="7" max="7" width="7.5" customWidth="1"/>
    <col min="8" max="8" width="6.875" customWidth="1"/>
    <col min="9" max="9" width="4" customWidth="1"/>
    <col min="10" max="10" width="0.875" customWidth="1"/>
    <col min="11" max="11" width="2.875" customWidth="1"/>
    <col min="13" max="13" width="22.125" customWidth="1"/>
  </cols>
  <sheetData>
    <row r="1" spans="1:14" ht="19.5" thickBot="1" x14ac:dyDescent="0.2">
      <c r="A1" s="221" t="s">
        <v>67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2" spans="1:14" ht="31.5" customHeight="1" x14ac:dyDescent="0.15">
      <c r="A2" s="148" t="s">
        <v>4</v>
      </c>
      <c r="B2" s="231">
        <f>貼り付け!B3</f>
        <v>20170802</v>
      </c>
      <c r="C2" s="211"/>
      <c r="D2" s="232" t="s">
        <v>3</v>
      </c>
      <c r="E2" s="233"/>
      <c r="F2" s="234" t="str">
        <f>貼り付け!A3</f>
        <v>J708000739</v>
      </c>
      <c r="G2" s="235"/>
      <c r="H2" s="235"/>
      <c r="I2" s="235"/>
      <c r="J2" s="235"/>
      <c r="K2" s="236"/>
    </row>
    <row r="3" spans="1:14" ht="31.5" customHeight="1" x14ac:dyDescent="0.15">
      <c r="A3" s="20" t="s">
        <v>62</v>
      </c>
      <c r="B3" s="222" t="str">
        <f>IF(ISNA(VLOOKUP(貼り付け!G3,担当者,4,FALSE)),"",VLOOKUP(貼り付け!G3,担当者,4,FALSE))</f>
        <v>水野</v>
      </c>
      <c r="C3" s="222"/>
      <c r="D3" s="223" t="s">
        <v>63</v>
      </c>
      <c r="E3" s="224"/>
      <c r="F3" s="225"/>
      <c r="G3" s="226"/>
      <c r="H3" s="227"/>
      <c r="I3" s="227"/>
      <c r="J3" s="227"/>
      <c r="K3" s="228"/>
    </row>
    <row r="4" spans="1:14" ht="31.5" customHeight="1" x14ac:dyDescent="0.15">
      <c r="A4" s="20" t="s">
        <v>1</v>
      </c>
      <c r="B4" s="237" t="str">
        <f>貼り付け!D3</f>
        <v>T0060</v>
      </c>
      <c r="C4" s="238"/>
      <c r="D4" s="237" t="str">
        <f>IF(ISNA(VLOOKUP(B4,納入先名,2,FALSE)),"",VLOOKUP(B4,納入先名,2,FALSE))</f>
        <v/>
      </c>
      <c r="E4" s="239"/>
      <c r="F4" s="239"/>
      <c r="G4" s="239"/>
      <c r="H4" s="239"/>
      <c r="I4" s="239"/>
      <c r="J4" s="239"/>
      <c r="K4" s="240"/>
    </row>
    <row r="5" spans="1:14" ht="31.5" customHeight="1" x14ac:dyDescent="0.15">
      <c r="A5" s="20" t="s">
        <v>2</v>
      </c>
      <c r="B5" s="241">
        <f>貼り付け!P3</f>
        <v>20170804</v>
      </c>
      <c r="C5" s="238"/>
      <c r="D5" s="242" t="s">
        <v>58</v>
      </c>
      <c r="E5" s="238"/>
      <c r="F5" s="243" t="str">
        <f>貼り付け!S3</f>
        <v>8/7納期</v>
      </c>
      <c r="G5" s="244"/>
      <c r="H5" s="244"/>
      <c r="I5" s="244"/>
      <c r="J5" s="244"/>
      <c r="K5" s="245"/>
      <c r="L5" s="30"/>
    </row>
    <row r="6" spans="1:14" ht="31.5" customHeight="1" x14ac:dyDescent="0.15">
      <c r="A6" s="20" t="s">
        <v>60</v>
      </c>
      <c r="B6" s="153" t="str">
        <f>IF(ISNA(VLOOKUP(B4,納入先名,8,FALSE)),"",VLOOKUP(B4,納入先名,8,FALSE))</f>
        <v/>
      </c>
      <c r="C6" s="456"/>
      <c r="D6" s="457"/>
      <c r="E6" s="457"/>
      <c r="F6" s="457"/>
      <c r="G6" s="457"/>
      <c r="H6" s="457"/>
      <c r="I6" s="457"/>
      <c r="J6" s="457"/>
      <c r="K6" s="458"/>
    </row>
    <row r="7" spans="1:14" ht="31.5" customHeight="1" x14ac:dyDescent="0.15">
      <c r="A7" s="20" t="s">
        <v>5</v>
      </c>
      <c r="B7" s="237" t="str">
        <f>貼り付け!C3</f>
        <v>タミヤ様分</v>
      </c>
      <c r="C7" s="259"/>
      <c r="D7" s="151" t="s">
        <v>59</v>
      </c>
      <c r="E7" s="200" t="str">
        <f>貼り付け!E3</f>
        <v>伊坂化成株式会社　藤枝</v>
      </c>
      <c r="F7" s="201"/>
      <c r="G7" s="201"/>
      <c r="H7" s="201"/>
      <c r="I7" s="78"/>
      <c r="J7" s="198" t="s">
        <v>610</v>
      </c>
      <c r="K7" s="199"/>
      <c r="L7" s="30"/>
    </row>
    <row r="8" spans="1:14" ht="31.5" customHeight="1" x14ac:dyDescent="0.15">
      <c r="A8" s="20" t="s">
        <v>8</v>
      </c>
      <c r="B8" s="237" t="str">
        <f>貼り付け!H3&amp;"  "&amp;貼り付け!I3</f>
        <v xml:space="preserve">アオキトランス㈱興津ターミナル事務所  </v>
      </c>
      <c r="C8" s="264"/>
      <c r="D8" s="264"/>
      <c r="E8" s="264"/>
      <c r="F8" s="264"/>
      <c r="G8" s="264"/>
      <c r="H8" s="264"/>
      <c r="I8" s="264"/>
      <c r="J8" s="264"/>
      <c r="K8" s="265"/>
      <c r="L8" s="30"/>
      <c r="M8" s="30"/>
    </row>
    <row r="9" spans="1:14" ht="31.5" customHeight="1" x14ac:dyDescent="0.15">
      <c r="A9" s="214" t="s">
        <v>9</v>
      </c>
      <c r="B9" s="202" t="str">
        <f>貼り付け!J3</f>
        <v>静岡市清水区興津清見寺１３７５－１６</v>
      </c>
      <c r="C9" s="203"/>
      <c r="D9" s="203"/>
      <c r="E9" s="204"/>
      <c r="F9" s="49" t="s">
        <v>137</v>
      </c>
      <c r="G9" s="149" t="str">
        <f>IF(ISNA(VLOOKUP(B4,納入先名,6,FALSE)),"",VLOOKUP(B4,納入先名,6,FALSE))</f>
        <v/>
      </c>
      <c r="H9" s="149" t="s">
        <v>138</v>
      </c>
      <c r="I9" s="205" t="str">
        <f>IF(ISNA(VLOOKUP(B4,納入先名,7,FALSE)),"",VLOOKUP(B4,納入先名,7,FALSE))</f>
        <v/>
      </c>
      <c r="J9" s="205"/>
      <c r="K9" s="206"/>
      <c r="L9" s="30"/>
    </row>
    <row r="10" spans="1:14" ht="31.5" customHeight="1" thickBot="1" x14ac:dyDescent="0.2">
      <c r="A10" s="215"/>
      <c r="B10" s="218" t="str">
        <f>IF(貼り付け!K3="","",貼り付け!K3)</f>
        <v/>
      </c>
      <c r="C10" s="219"/>
      <c r="D10" s="219"/>
      <c r="E10" s="220"/>
      <c r="F10" s="150" t="s">
        <v>65</v>
      </c>
      <c r="G10" s="216" t="str">
        <f>貼り付け!L3</f>
        <v>054-369-6666</v>
      </c>
      <c r="H10" s="216"/>
      <c r="I10" s="216"/>
      <c r="J10" s="216"/>
      <c r="K10" s="217"/>
      <c r="L10" s="33"/>
      <c r="M10" s="30"/>
    </row>
    <row r="11" spans="1:14" ht="21" customHeight="1" thickBot="1" x14ac:dyDescent="0.2">
      <c r="A11" s="50"/>
      <c r="B11" s="1"/>
      <c r="C11" s="1"/>
      <c r="D11" s="1"/>
      <c r="E11" s="167"/>
      <c r="F11" s="167"/>
      <c r="G11" s="167"/>
      <c r="H11" s="167"/>
      <c r="I11" s="167"/>
      <c r="J11" s="167"/>
      <c r="K11" s="167"/>
      <c r="L11" s="30"/>
      <c r="M11" s="32"/>
    </row>
    <row r="12" spans="1:14" ht="23.25" customHeight="1" thickBot="1" x14ac:dyDescent="0.2">
      <c r="A12" s="207" t="s">
        <v>6</v>
      </c>
      <c r="B12" s="208"/>
      <c r="C12" s="154" t="s">
        <v>7</v>
      </c>
      <c r="D12" s="209" t="s">
        <v>10</v>
      </c>
      <c r="E12" s="210"/>
      <c r="F12" s="210"/>
      <c r="G12" s="210"/>
      <c r="H12" s="211"/>
      <c r="I12" s="209"/>
      <c r="J12" s="212"/>
      <c r="K12" s="213"/>
      <c r="M12" s="82" t="s">
        <v>611</v>
      </c>
      <c r="N12" s="84" t="s">
        <v>612</v>
      </c>
    </row>
    <row r="13" spans="1:14" ht="15" customHeight="1" x14ac:dyDescent="0.15">
      <c r="A13" s="187" t="str">
        <f>IF(貼り付け!M3="","",貼り付け!M3)</f>
        <v>S1-FPA3-U-EX</v>
      </c>
      <c r="B13" s="193"/>
      <c r="C13" s="189">
        <f>IF(貼り付け!R3="","",貼り付け!R3)</f>
        <v>3</v>
      </c>
      <c r="D13" s="179"/>
      <c r="E13" s="180"/>
      <c r="F13" s="180"/>
      <c r="G13" s="180"/>
      <c r="H13" s="181"/>
      <c r="I13" s="179"/>
      <c r="J13" s="180"/>
      <c r="K13" s="185"/>
      <c r="M13" s="85" t="str">
        <f>IF(貼り付け!M3="","",貼り付け!M3)</f>
        <v>S1-FPA3-U-EX</v>
      </c>
    </row>
    <row r="14" spans="1:14" ht="15" customHeight="1" x14ac:dyDescent="0.15">
      <c r="A14" s="191" t="str">
        <f>IF(貼り付け!N3="","",貼り付け!N3)</f>
        <v>ＦＰＡ－３ (UN/16KG)</v>
      </c>
      <c r="B14" s="192"/>
      <c r="C14" s="190"/>
      <c r="D14" s="182"/>
      <c r="E14" s="183"/>
      <c r="F14" s="183"/>
      <c r="G14" s="183"/>
      <c r="H14" s="184"/>
      <c r="I14" s="182"/>
      <c r="J14" s="183"/>
      <c r="K14" s="186"/>
      <c r="M14" s="79" t="str">
        <f>IF(貼り付け!M4="","",貼り付け!M4)</f>
        <v/>
      </c>
    </row>
    <row r="15" spans="1:14" ht="15" customHeight="1" x14ac:dyDescent="0.15">
      <c r="A15" s="187" t="str">
        <f>IF(貼り付け!M4="","",貼り付け!M4)</f>
        <v/>
      </c>
      <c r="B15" s="188"/>
      <c r="C15" s="189" t="str">
        <f>IF(貼り付け!R4="","",貼り付け!R4)</f>
        <v/>
      </c>
      <c r="D15" s="179"/>
      <c r="E15" s="180"/>
      <c r="F15" s="180"/>
      <c r="G15" s="180"/>
      <c r="H15" s="181"/>
      <c r="I15" s="179"/>
      <c r="J15" s="180"/>
      <c r="K15" s="185"/>
      <c r="M15" s="80" t="str">
        <f>IF(貼り付け!M5="","",貼り付け!M5)</f>
        <v/>
      </c>
      <c r="N15" s="30"/>
    </row>
    <row r="16" spans="1:14" ht="15" customHeight="1" x14ac:dyDescent="0.15">
      <c r="A16" s="194" t="str">
        <f>IF(貼り付け!N4="","",貼り付け!N4)</f>
        <v/>
      </c>
      <c r="B16" s="195"/>
      <c r="C16" s="190"/>
      <c r="D16" s="182"/>
      <c r="E16" s="183"/>
      <c r="F16" s="183"/>
      <c r="G16" s="183"/>
      <c r="H16" s="184"/>
      <c r="I16" s="182"/>
      <c r="J16" s="183"/>
      <c r="K16" s="186"/>
      <c r="M16" s="80" t="str">
        <f>IF(貼り付け!M6="","",貼り付け!M6)</f>
        <v/>
      </c>
    </row>
    <row r="17" spans="1:14" ht="15" customHeight="1" x14ac:dyDescent="0.15">
      <c r="A17" s="187" t="str">
        <f>IF(貼り付け!M5="","",貼り付け!M5)</f>
        <v/>
      </c>
      <c r="B17" s="193"/>
      <c r="C17" s="189" t="str">
        <f>IF(貼り付け!R5="","",貼り付け!R5)</f>
        <v/>
      </c>
      <c r="D17" s="179"/>
      <c r="E17" s="180"/>
      <c r="F17" s="180"/>
      <c r="G17" s="180"/>
      <c r="H17" s="181"/>
      <c r="I17" s="179"/>
      <c r="J17" s="180"/>
      <c r="K17" s="185"/>
      <c r="M17" s="80" t="str">
        <f>IF(貼り付け!M7="","",貼り付け!M7)</f>
        <v/>
      </c>
    </row>
    <row r="18" spans="1:14" ht="15" customHeight="1" x14ac:dyDescent="0.15">
      <c r="A18" s="196" t="str">
        <f>IF(貼り付け!N5="","",貼り付け!N5)</f>
        <v/>
      </c>
      <c r="B18" s="197"/>
      <c r="C18" s="190"/>
      <c r="D18" s="182"/>
      <c r="E18" s="183"/>
      <c r="F18" s="183"/>
      <c r="G18" s="183"/>
      <c r="H18" s="184"/>
      <c r="I18" s="182"/>
      <c r="J18" s="183"/>
      <c r="K18" s="186"/>
      <c r="M18" s="80" t="str">
        <f>IF(貼り付け!M8="","",貼り付け!M8)</f>
        <v/>
      </c>
    </row>
    <row r="19" spans="1:14" ht="15" customHeight="1" x14ac:dyDescent="0.15">
      <c r="A19" s="187" t="str">
        <f>IF(貼り付け!M6="","",貼り付け!M6)</f>
        <v/>
      </c>
      <c r="B19" s="188"/>
      <c r="C19" s="189" t="str">
        <f>IF(貼り付け!R6="","",貼り付け!R6)</f>
        <v/>
      </c>
      <c r="D19" s="179"/>
      <c r="E19" s="180"/>
      <c r="F19" s="180"/>
      <c r="G19" s="180"/>
      <c r="H19" s="181"/>
      <c r="I19" s="179"/>
      <c r="J19" s="180"/>
      <c r="K19" s="185"/>
      <c r="M19" s="80" t="str">
        <f>IF(貼り付け!M9="","",貼り付け!M9)</f>
        <v/>
      </c>
    </row>
    <row r="20" spans="1:14" ht="15" customHeight="1" x14ac:dyDescent="0.15">
      <c r="A20" s="191" t="str">
        <f>IF(貼り付け!N6="","",貼り付け!N6)</f>
        <v/>
      </c>
      <c r="B20" s="192"/>
      <c r="C20" s="190"/>
      <c r="D20" s="182"/>
      <c r="E20" s="183"/>
      <c r="F20" s="183"/>
      <c r="G20" s="183"/>
      <c r="H20" s="184"/>
      <c r="I20" s="182"/>
      <c r="J20" s="183"/>
      <c r="K20" s="186"/>
      <c r="M20" s="80" t="str">
        <f>IF(貼り付け!M10="","",貼り付け!M10)</f>
        <v/>
      </c>
      <c r="N20" s="1"/>
    </row>
    <row r="21" spans="1:14" ht="15" customHeight="1" x14ac:dyDescent="0.15">
      <c r="A21" s="187" t="str">
        <f>IF(貼り付け!M7="","",貼り付け!M7)</f>
        <v/>
      </c>
      <c r="B21" s="188"/>
      <c r="C21" s="189" t="str">
        <f>IF(貼り付け!R7="","",貼り付け!R7)</f>
        <v/>
      </c>
      <c r="D21" s="179"/>
      <c r="E21" s="180"/>
      <c r="F21" s="180"/>
      <c r="G21" s="180"/>
      <c r="H21" s="181"/>
      <c r="I21" s="179"/>
      <c r="J21" s="180"/>
      <c r="K21" s="185"/>
      <c r="M21" s="80" t="str">
        <f>IF(貼り付け!M11="","",貼り付け!M11)</f>
        <v/>
      </c>
    </row>
    <row r="22" spans="1:14" ht="15" customHeight="1" x14ac:dyDescent="0.15">
      <c r="A22" s="323" t="str">
        <f>IF(貼り付け!N7="","",貼り付け!N7)</f>
        <v/>
      </c>
      <c r="B22" s="352"/>
      <c r="C22" s="190"/>
      <c r="D22" s="182"/>
      <c r="E22" s="183"/>
      <c r="F22" s="183"/>
      <c r="G22" s="183"/>
      <c r="H22" s="184"/>
      <c r="I22" s="182"/>
      <c r="J22" s="183"/>
      <c r="K22" s="186"/>
      <c r="M22" s="80" t="str">
        <f>IF(貼り付け!M12="","",貼り付け!M12)</f>
        <v/>
      </c>
    </row>
    <row r="23" spans="1:14" ht="15" customHeight="1" x14ac:dyDescent="0.15">
      <c r="A23" s="187" t="str">
        <f>IF(貼り付け!M8="","",貼り付け!M8)</f>
        <v/>
      </c>
      <c r="B23" s="188"/>
      <c r="C23" s="189" t="str">
        <f>IF(貼り付け!R8="","",貼り付け!R8)</f>
        <v/>
      </c>
      <c r="D23" s="179"/>
      <c r="E23" s="180"/>
      <c r="F23" s="180"/>
      <c r="G23" s="180"/>
      <c r="H23" s="181"/>
      <c r="I23" s="179"/>
      <c r="J23" s="180"/>
      <c r="K23" s="185"/>
      <c r="M23" s="80" t="str">
        <f>IF(貼り付け!M13="","",貼り付け!M13)</f>
        <v/>
      </c>
    </row>
    <row r="24" spans="1:14" ht="15" customHeight="1" x14ac:dyDescent="0.15">
      <c r="A24" s="191" t="str">
        <f>IF(貼り付け!N8="","",貼り付け!N8)</f>
        <v/>
      </c>
      <c r="B24" s="192"/>
      <c r="C24" s="349"/>
      <c r="D24" s="350"/>
      <c r="E24" s="351"/>
      <c r="F24" s="351"/>
      <c r="G24" s="351"/>
      <c r="H24" s="449"/>
      <c r="I24" s="350"/>
      <c r="J24" s="351"/>
      <c r="K24" s="448"/>
      <c r="M24" s="80" t="str">
        <f>IF(貼り付け!M14="","",貼り付け!M14)</f>
        <v/>
      </c>
    </row>
    <row r="25" spans="1:14" ht="15" customHeight="1" thickBot="1" x14ac:dyDescent="0.2">
      <c r="A25" s="187" t="str">
        <f>IF(貼り付け!M9="","",貼り付け!M9)</f>
        <v/>
      </c>
      <c r="B25" s="188"/>
      <c r="C25" s="189" t="str">
        <f>IF(貼り付け!R10="","",貼り付け!R10)</f>
        <v/>
      </c>
      <c r="D25" s="179"/>
      <c r="E25" s="180"/>
      <c r="F25" s="180"/>
      <c r="G25" s="180"/>
      <c r="H25" s="181"/>
      <c r="I25" s="179"/>
      <c r="J25" s="180"/>
      <c r="K25" s="185"/>
      <c r="M25" s="81" t="str">
        <f>IF(貼り付け!M15="","",貼り付け!M15)</f>
        <v/>
      </c>
    </row>
    <row r="26" spans="1:14" ht="15" customHeight="1" x14ac:dyDescent="0.15">
      <c r="A26" s="191" t="str">
        <f>IF(貼り付け!N9="","",貼り付け!N9)</f>
        <v/>
      </c>
      <c r="B26" s="192"/>
      <c r="C26" s="349"/>
      <c r="D26" s="350"/>
      <c r="E26" s="351"/>
      <c r="F26" s="351"/>
      <c r="G26" s="351"/>
      <c r="H26" s="449"/>
      <c r="I26" s="350"/>
      <c r="J26" s="351"/>
      <c r="K26" s="448"/>
    </row>
    <row r="27" spans="1:14" x14ac:dyDescent="0.15">
      <c r="A27" s="187" t="str">
        <f>IF(貼り付け!M10="","",貼り付け!M10)</f>
        <v/>
      </c>
      <c r="B27" s="188"/>
      <c r="C27" s="189" t="str">
        <f>IF(貼り付け!R12="","",貼り付け!R12)</f>
        <v/>
      </c>
      <c r="D27" s="450"/>
      <c r="E27" s="451"/>
      <c r="F27" s="451"/>
      <c r="G27" s="451"/>
      <c r="H27" s="452"/>
      <c r="I27" s="179"/>
      <c r="J27" s="180"/>
      <c r="K27" s="185"/>
    </row>
    <row r="28" spans="1:14" ht="15" customHeight="1" x14ac:dyDescent="0.15">
      <c r="A28" s="191" t="str">
        <f>IF(貼り付け!N10="","",貼り付け!N10)</f>
        <v/>
      </c>
      <c r="B28" s="192"/>
      <c r="C28" s="349"/>
      <c r="D28" s="453"/>
      <c r="E28" s="454"/>
      <c r="F28" s="454"/>
      <c r="G28" s="454"/>
      <c r="H28" s="455"/>
      <c r="I28" s="350"/>
      <c r="J28" s="351"/>
      <c r="K28" s="448"/>
      <c r="M28" s="155"/>
    </row>
    <row r="29" spans="1:14" ht="15" customHeight="1" x14ac:dyDescent="0.15">
      <c r="A29" s="187" t="str">
        <f>IF(貼り付け!M11="","",貼り付け!M11)</f>
        <v/>
      </c>
      <c r="B29" s="188"/>
      <c r="C29" s="189" t="str">
        <f>IF(貼り付け!R14="","",貼り付け!R14)</f>
        <v/>
      </c>
      <c r="D29" s="450"/>
      <c r="E29" s="451"/>
      <c r="F29" s="451"/>
      <c r="G29" s="451"/>
      <c r="H29" s="452"/>
      <c r="I29" s="179"/>
      <c r="J29" s="180"/>
      <c r="K29" s="185"/>
      <c r="L29" s="30"/>
      <c r="M29" s="30"/>
    </row>
    <row r="30" spans="1:14" ht="15" customHeight="1" x14ac:dyDescent="0.15">
      <c r="A30" s="191" t="str">
        <f>IF(貼り付け!N11="","",貼り付け!N11)</f>
        <v/>
      </c>
      <c r="B30" s="192"/>
      <c r="C30" s="349"/>
      <c r="D30" s="453"/>
      <c r="E30" s="454"/>
      <c r="F30" s="454"/>
      <c r="G30" s="454"/>
      <c r="H30" s="455"/>
      <c r="I30" s="350"/>
      <c r="J30" s="351"/>
      <c r="K30" s="448"/>
      <c r="L30" s="30"/>
      <c r="M30" s="30"/>
    </row>
    <row r="31" spans="1:14" ht="15" customHeight="1" x14ac:dyDescent="0.15">
      <c r="A31" s="187" t="str">
        <f>IF(貼り付け!M12="","",貼り付け!M12)</f>
        <v/>
      </c>
      <c r="B31" s="193"/>
      <c r="C31" s="189" t="str">
        <f>IF(貼り付け!R16="","",貼り付け!R16)</f>
        <v/>
      </c>
      <c r="D31" s="450"/>
      <c r="E31" s="451"/>
      <c r="F31" s="451"/>
      <c r="G31" s="451"/>
      <c r="H31" s="452"/>
      <c r="I31" s="179"/>
      <c r="J31" s="180"/>
      <c r="K31" s="185"/>
      <c r="L31" s="30"/>
      <c r="M31" s="30"/>
    </row>
    <row r="32" spans="1:14" ht="15" customHeight="1" x14ac:dyDescent="0.15">
      <c r="A32" s="191" t="str">
        <f>IF(貼り付け!N12="","",貼り付け!N12)</f>
        <v/>
      </c>
      <c r="B32" s="192"/>
      <c r="C32" s="349"/>
      <c r="D32" s="459"/>
      <c r="E32" s="352"/>
      <c r="F32" s="352"/>
      <c r="G32" s="352"/>
      <c r="H32" s="324"/>
      <c r="I32" s="350"/>
      <c r="J32" s="351"/>
      <c r="K32" s="448"/>
      <c r="L32" s="30"/>
    </row>
    <row r="33" spans="1:11" ht="15" customHeight="1" x14ac:dyDescent="0.15">
      <c r="A33" s="187" t="str">
        <f>IF(貼り付け!M13="","",貼り付け!M13)</f>
        <v/>
      </c>
      <c r="B33" s="193"/>
      <c r="C33" s="189" t="str">
        <f>IF(貼り付け!R13="","",貼り付け!R13)</f>
        <v/>
      </c>
      <c r="D33" s="453"/>
      <c r="E33" s="454"/>
      <c r="F33" s="454"/>
      <c r="G33" s="454"/>
      <c r="H33" s="455"/>
      <c r="I33" s="350"/>
      <c r="J33" s="351"/>
      <c r="K33" s="448"/>
    </row>
    <row r="34" spans="1:11" ht="15" customHeight="1" x14ac:dyDescent="0.15">
      <c r="A34" s="191" t="str">
        <f>IF(貼り付け!N13="","",貼り付け!N13)</f>
        <v/>
      </c>
      <c r="B34" s="192"/>
      <c r="C34" s="190"/>
      <c r="D34" s="459"/>
      <c r="E34" s="352"/>
      <c r="F34" s="352"/>
      <c r="G34" s="352"/>
      <c r="H34" s="324"/>
      <c r="I34" s="182"/>
      <c r="J34" s="183"/>
      <c r="K34" s="186"/>
    </row>
    <row r="35" spans="1:11" ht="15" customHeight="1" x14ac:dyDescent="0.15">
      <c r="A35" s="187" t="str">
        <f>IF(貼り付け!M14="","",貼り付け!M14)</f>
        <v/>
      </c>
      <c r="B35" s="193"/>
      <c r="C35" s="189" t="str">
        <f>IF(貼り付け!R14="","",貼り付け!R14)</f>
        <v/>
      </c>
      <c r="D35" s="450"/>
      <c r="E35" s="451"/>
      <c r="F35" s="451"/>
      <c r="G35" s="451"/>
      <c r="H35" s="452"/>
      <c r="I35" s="179"/>
      <c r="J35" s="180"/>
      <c r="K35" s="185"/>
    </row>
    <row r="36" spans="1:11" ht="15" customHeight="1" thickBot="1" x14ac:dyDescent="0.2">
      <c r="A36" s="249" t="str">
        <f>IF(貼り付け!N14="","",貼り付け!N14)</f>
        <v/>
      </c>
      <c r="B36" s="464"/>
      <c r="C36" s="248"/>
      <c r="D36" s="460"/>
      <c r="E36" s="461"/>
      <c r="F36" s="461"/>
      <c r="G36" s="461"/>
      <c r="H36" s="462"/>
      <c r="I36" s="309"/>
      <c r="J36" s="310"/>
      <c r="K36" s="463"/>
    </row>
    <row r="37" spans="1:11" ht="30" customHeight="1" thickBot="1" x14ac:dyDescent="0.2">
      <c r="A37" s="3" t="s">
        <v>64</v>
      </c>
      <c r="B37" s="163">
        <f>SUM(C13:C36)</f>
        <v>3</v>
      </c>
      <c r="C37" s="164"/>
      <c r="D37" s="165" t="s">
        <v>66</v>
      </c>
      <c r="E37" s="166"/>
      <c r="F37" s="165"/>
      <c r="G37" s="167"/>
      <c r="H37" s="167"/>
      <c r="I37" s="167"/>
      <c r="J37" s="167"/>
      <c r="K37" s="168"/>
    </row>
    <row r="38" spans="1:11" ht="13.5" customHeight="1" x14ac:dyDescent="0.15">
      <c r="D38" s="169" t="s">
        <v>2</v>
      </c>
      <c r="E38" s="170"/>
      <c r="F38" s="173">
        <f>B5</f>
        <v>20170804</v>
      </c>
      <c r="G38" s="174"/>
      <c r="H38" s="174"/>
      <c r="I38" s="174"/>
      <c r="J38" s="174"/>
      <c r="K38" s="175"/>
    </row>
    <row r="39" spans="1:11" ht="13.5" customHeight="1" x14ac:dyDescent="0.15">
      <c r="D39" s="171"/>
      <c r="E39" s="172"/>
      <c r="F39" s="176"/>
      <c r="G39" s="177"/>
      <c r="H39" s="177"/>
      <c r="I39" s="177"/>
      <c r="J39" s="177"/>
      <c r="K39" s="178"/>
    </row>
    <row r="40" spans="1:11" ht="23.25" customHeight="1" x14ac:dyDescent="0.15"/>
  </sheetData>
  <mergeCells count="91">
    <mergeCell ref="I25:K26"/>
    <mergeCell ref="I27:K28"/>
    <mergeCell ref="I29:K30"/>
    <mergeCell ref="D31:H32"/>
    <mergeCell ref="I31:K32"/>
    <mergeCell ref="C6:K6"/>
    <mergeCell ref="B37:C37"/>
    <mergeCell ref="D37:E37"/>
    <mergeCell ref="F37:K37"/>
    <mergeCell ref="A31:B31"/>
    <mergeCell ref="C31:C32"/>
    <mergeCell ref="A32:B32"/>
    <mergeCell ref="A33:B33"/>
    <mergeCell ref="C33:C34"/>
    <mergeCell ref="D33:H34"/>
    <mergeCell ref="I33:K34"/>
    <mergeCell ref="A34:B34"/>
    <mergeCell ref="D35:H36"/>
    <mergeCell ref="I35:K36"/>
    <mergeCell ref="A36:B36"/>
    <mergeCell ref="D23:H24"/>
    <mergeCell ref="A27:B27"/>
    <mergeCell ref="A28:B28"/>
    <mergeCell ref="A25:B25"/>
    <mergeCell ref="A26:B26"/>
    <mergeCell ref="D38:E39"/>
    <mergeCell ref="C25:C26"/>
    <mergeCell ref="C27:C28"/>
    <mergeCell ref="D25:H26"/>
    <mergeCell ref="D27:H28"/>
    <mergeCell ref="F38:K39"/>
    <mergeCell ref="A29:B29"/>
    <mergeCell ref="A30:B30"/>
    <mergeCell ref="A35:B35"/>
    <mergeCell ref="C35:C36"/>
    <mergeCell ref="C29:C30"/>
    <mergeCell ref="D29:H30"/>
    <mergeCell ref="A23:B23"/>
    <mergeCell ref="C23:C24"/>
    <mergeCell ref="D19:H20"/>
    <mergeCell ref="I23:K24"/>
    <mergeCell ref="A24:B24"/>
    <mergeCell ref="I19:K20"/>
    <mergeCell ref="A20:B20"/>
    <mergeCell ref="A21:B21"/>
    <mergeCell ref="C21:C22"/>
    <mergeCell ref="D21:H22"/>
    <mergeCell ref="I21:K22"/>
    <mergeCell ref="A22:B22"/>
    <mergeCell ref="A19:B19"/>
    <mergeCell ref="C19:C20"/>
    <mergeCell ref="A15:B15"/>
    <mergeCell ref="C15:C16"/>
    <mergeCell ref="D15:H16"/>
    <mergeCell ref="I15:K16"/>
    <mergeCell ref="A16:B16"/>
    <mergeCell ref="A17:B17"/>
    <mergeCell ref="C17:C18"/>
    <mergeCell ref="D17:H18"/>
    <mergeCell ref="I17:K18"/>
    <mergeCell ref="A18:B18"/>
    <mergeCell ref="E11:K11"/>
    <mergeCell ref="A12:B12"/>
    <mergeCell ref="D12:H12"/>
    <mergeCell ref="I12:K12"/>
    <mergeCell ref="A13:B13"/>
    <mergeCell ref="C13:C14"/>
    <mergeCell ref="D13:H14"/>
    <mergeCell ref="I13:K14"/>
    <mergeCell ref="A14:B14"/>
    <mergeCell ref="B7:C7"/>
    <mergeCell ref="E7:H7"/>
    <mergeCell ref="J7:K7"/>
    <mergeCell ref="B8:K8"/>
    <mergeCell ref="A9:A10"/>
    <mergeCell ref="B9:E9"/>
    <mergeCell ref="I9:K9"/>
    <mergeCell ref="B10:E10"/>
    <mergeCell ref="G10:K10"/>
    <mergeCell ref="B4:C4"/>
    <mergeCell ref="D4:K4"/>
    <mergeCell ref="B5:C5"/>
    <mergeCell ref="D5:E5"/>
    <mergeCell ref="F5:K5"/>
    <mergeCell ref="A1:K1"/>
    <mergeCell ref="B2:C2"/>
    <mergeCell ref="D2:E2"/>
    <mergeCell ref="F2:K2"/>
    <mergeCell ref="B3:C3"/>
    <mergeCell ref="D3:E3"/>
    <mergeCell ref="F3:K3"/>
  </mergeCells>
  <phoneticPr fontId="1"/>
  <pageMargins left="0.78740157480314965" right="0.74" top="0.98425196850393704" bottom="0.65" header="0.51181102362204722" footer="0.51181102362204722"/>
  <pageSetup paperSize="9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workbookViewId="0">
      <selection activeCell="U19" sqref="U19"/>
    </sheetView>
  </sheetViews>
  <sheetFormatPr defaultRowHeight="13.5" x14ac:dyDescent="0.15"/>
  <cols>
    <col min="1" max="1" width="11.625" customWidth="1"/>
    <col min="2" max="2" width="22.625" customWidth="1"/>
    <col min="3" max="3" width="7.5" customWidth="1"/>
    <col min="4" max="5" width="8.625" customWidth="1"/>
    <col min="6" max="6" width="5.375" customWidth="1"/>
    <col min="7" max="7" width="4.875" customWidth="1"/>
    <col min="8" max="8" width="3.25" customWidth="1"/>
    <col min="9" max="9" width="4.125" customWidth="1"/>
    <col min="10" max="10" width="2.375" customWidth="1"/>
    <col min="11" max="11" width="5.5" bestFit="1" customWidth="1"/>
    <col min="13" max="13" width="18.75" customWidth="1"/>
  </cols>
  <sheetData>
    <row r="1" spans="1:15" ht="20.100000000000001" customHeight="1" thickBot="1" x14ac:dyDescent="0.2">
      <c r="A1" s="221" t="s">
        <v>67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2" spans="1:15" ht="30" customHeight="1" x14ac:dyDescent="0.15">
      <c r="A2" s="124" t="s">
        <v>4</v>
      </c>
      <c r="B2" s="231">
        <f>貼り付け!B3</f>
        <v>20170802</v>
      </c>
      <c r="C2" s="262"/>
      <c r="D2" s="263" t="s">
        <v>3</v>
      </c>
      <c r="E2" s="211"/>
      <c r="F2" s="234" t="str">
        <f>貼り付け!A3</f>
        <v>J708000739</v>
      </c>
      <c r="G2" s="235"/>
      <c r="H2" s="235"/>
      <c r="I2" s="235"/>
      <c r="J2" s="235"/>
      <c r="K2" s="236"/>
    </row>
    <row r="3" spans="1:15" ht="30" customHeight="1" x14ac:dyDescent="0.15">
      <c r="A3" s="20" t="s">
        <v>62</v>
      </c>
      <c r="B3" s="237" t="str">
        <f>IF(ISNA(VLOOKUP(貼り付け!G3,担当者,4,FALSE)),"",VLOOKUP(貼り付け!G3,担当者,4,FALSE))</f>
        <v>水野</v>
      </c>
      <c r="C3" s="259"/>
      <c r="D3" s="242" t="s">
        <v>63</v>
      </c>
      <c r="E3" s="260"/>
      <c r="F3" s="222"/>
      <c r="G3" s="222"/>
      <c r="H3" s="222"/>
      <c r="I3" s="222"/>
      <c r="J3" s="222"/>
      <c r="K3" s="261"/>
    </row>
    <row r="4" spans="1:15" ht="30" customHeight="1" x14ac:dyDescent="0.15">
      <c r="A4" s="20" t="s">
        <v>1</v>
      </c>
      <c r="B4" s="237" t="str">
        <f>貼り付け!G3</f>
        <v>PHT01</v>
      </c>
      <c r="C4" s="238"/>
      <c r="D4" s="237" t="str">
        <f>IF(ISNA(VLOOKUP(B4,納入先名,2,FALSE)),"",VLOOKUP(B4,納入先名,2,FALSE))</f>
        <v>フィリピンタミヤ</v>
      </c>
      <c r="E4" s="264"/>
      <c r="F4" s="264"/>
      <c r="G4" s="264"/>
      <c r="H4" s="264"/>
      <c r="I4" s="264"/>
      <c r="J4" s="264"/>
      <c r="K4" s="265"/>
    </row>
    <row r="5" spans="1:15" ht="30" customHeight="1" x14ac:dyDescent="0.15">
      <c r="A5" s="20" t="s">
        <v>2</v>
      </c>
      <c r="B5" s="241">
        <f>貼り付け!P3</f>
        <v>20170804</v>
      </c>
      <c r="C5" s="238"/>
      <c r="D5" s="129" t="s">
        <v>58</v>
      </c>
      <c r="E5" s="266" t="str">
        <f>貼り付け!S3</f>
        <v>8/7納期</v>
      </c>
      <c r="F5" s="267"/>
      <c r="G5" s="267"/>
      <c r="H5" s="267"/>
      <c r="I5" s="267"/>
      <c r="J5" s="267"/>
      <c r="K5" s="268"/>
    </row>
    <row r="6" spans="1:15" ht="30" customHeight="1" x14ac:dyDescent="0.15">
      <c r="A6" s="20" t="s">
        <v>60</v>
      </c>
      <c r="B6" s="98" t="str">
        <f>貼り付け!C3</f>
        <v>タミヤ様分</v>
      </c>
      <c r="C6" s="246" t="str">
        <f>IF(ISNA(VLOOKUP(B4,納入先名,8,FALSE)),"",VLOOKUP(B4,納入先名,8,FALSE))</f>
        <v>タミヤ様分</v>
      </c>
      <c r="D6" s="246"/>
      <c r="E6" s="246"/>
      <c r="F6" s="246"/>
      <c r="G6" s="246"/>
      <c r="H6" s="246"/>
      <c r="I6" s="246"/>
      <c r="J6" s="246"/>
      <c r="K6" s="247"/>
      <c r="M6" s="30"/>
    </row>
    <row r="7" spans="1:15" ht="30" customHeight="1" x14ac:dyDescent="0.15">
      <c r="A7" s="20" t="s">
        <v>5</v>
      </c>
      <c r="B7" s="237" t="str">
        <f>貼り付け!C3</f>
        <v>タミヤ様分</v>
      </c>
      <c r="C7" s="259"/>
      <c r="D7" s="129" t="s">
        <v>59</v>
      </c>
      <c r="E7" s="269" t="str">
        <f>貼り付け!E3</f>
        <v>伊坂化成株式会社　藤枝</v>
      </c>
      <c r="F7" s="270"/>
      <c r="G7" s="270"/>
      <c r="H7" s="270"/>
      <c r="I7" s="120"/>
      <c r="J7" s="122" t="s">
        <v>610</v>
      </c>
      <c r="K7" s="123"/>
      <c r="O7" s="30"/>
    </row>
    <row r="8" spans="1:15" ht="30" customHeight="1" x14ac:dyDescent="0.15">
      <c r="A8" s="20" t="s">
        <v>8</v>
      </c>
      <c r="B8" s="121" t="str">
        <f>貼り付け!H3&amp;"  "&amp;貼り付け!I3</f>
        <v xml:space="preserve">アオキトランス㈱興津ターミナル事務所  </v>
      </c>
      <c r="C8" s="127"/>
      <c r="D8" s="127"/>
      <c r="E8" s="127"/>
      <c r="F8" s="127"/>
      <c r="G8" s="127"/>
      <c r="H8" s="127"/>
      <c r="I8" s="127"/>
      <c r="J8" s="127"/>
      <c r="K8" s="128"/>
    </row>
    <row r="9" spans="1:15" ht="30" customHeight="1" x14ac:dyDescent="0.15">
      <c r="A9" s="214" t="s">
        <v>9</v>
      </c>
      <c r="B9" s="225" t="str">
        <f>貼り付け!J3</f>
        <v>静岡市清水区興津清見寺１３７５－１６</v>
      </c>
      <c r="C9" s="226"/>
      <c r="D9" s="227"/>
      <c r="E9" s="256"/>
      <c r="F9" s="52" t="s">
        <v>137</v>
      </c>
      <c r="G9" s="126">
        <f>IF(ISNA(VLOOKUP(B4,納入先名,6,FALSE)),"",VLOOKUP(B4,納入先名,6,FALSE))</f>
        <v>424</v>
      </c>
      <c r="H9" s="126" t="s">
        <v>138</v>
      </c>
      <c r="I9" s="257" t="str">
        <f>IF(ISNA(VLOOKUP(B4,納入先名,7,FALSE)),"",VLOOKUP(B4,納入先名,7,FALSE))</f>
        <v>0206</v>
      </c>
      <c r="J9" s="257"/>
      <c r="K9" s="258"/>
    </row>
    <row r="10" spans="1:15" ht="30" customHeight="1" thickBot="1" x14ac:dyDescent="0.2">
      <c r="A10" s="255"/>
      <c r="B10" s="218" t="str">
        <f>IF(貼り付け!K3="","",貼り付け!K3)</f>
        <v/>
      </c>
      <c r="C10" s="219"/>
      <c r="D10" s="219"/>
      <c r="E10" s="220"/>
      <c r="F10" s="53" t="s">
        <v>139</v>
      </c>
      <c r="G10" s="216" t="str">
        <f>貼り付け!L3</f>
        <v>054-369-6666</v>
      </c>
      <c r="H10" s="216"/>
      <c r="I10" s="216"/>
      <c r="J10" s="216"/>
      <c r="K10" s="217"/>
    </row>
    <row r="11" spans="1:15" ht="21" customHeight="1" thickBot="1" x14ac:dyDescent="0.2">
      <c r="A11" s="7"/>
      <c r="B11" s="7"/>
      <c r="C11" s="7"/>
      <c r="D11" s="7"/>
      <c r="E11" s="282" t="str">
        <f>IF(D4=M66,M67,"")</f>
        <v/>
      </c>
      <c r="F11" s="167"/>
      <c r="G11" s="167"/>
      <c r="H11" s="167"/>
      <c r="I11" s="167"/>
      <c r="J11" s="167"/>
      <c r="K11" s="167"/>
      <c r="L11" s="33"/>
    </row>
    <row r="12" spans="1:15" ht="30" customHeight="1" x14ac:dyDescent="0.15">
      <c r="A12" s="283" t="s">
        <v>6</v>
      </c>
      <c r="B12" s="284"/>
      <c r="C12" s="125" t="s">
        <v>7</v>
      </c>
      <c r="D12" s="263" t="s">
        <v>10</v>
      </c>
      <c r="E12" s="285"/>
      <c r="F12" s="285"/>
      <c r="G12" s="210"/>
      <c r="H12" s="211"/>
      <c r="I12" s="263" t="s">
        <v>320</v>
      </c>
      <c r="J12" s="286"/>
      <c r="K12" s="287"/>
      <c r="L12" s="34"/>
    </row>
    <row r="13" spans="1:15" ht="15" customHeight="1" x14ac:dyDescent="0.15">
      <c r="A13" s="187" t="str">
        <f>IF(貼り付け!M3="","",貼り付け!M3)</f>
        <v>S1-FPA3-U-EX</v>
      </c>
      <c r="B13" s="193"/>
      <c r="C13" s="189">
        <f>IF(貼り付け!R3="","",貼り付け!R3)</f>
        <v>3</v>
      </c>
      <c r="D13" s="179"/>
      <c r="E13" s="180"/>
      <c r="F13" s="180"/>
      <c r="G13" s="180"/>
      <c r="H13" s="114"/>
      <c r="I13" s="179">
        <f>IF(C13="","",1)</f>
        <v>1</v>
      </c>
      <c r="J13" s="251" t="s">
        <v>140</v>
      </c>
      <c r="K13" s="185">
        <f>IF(C13=1,"",C13)</f>
        <v>3</v>
      </c>
      <c r="L13" s="30"/>
    </row>
    <row r="14" spans="1:15" ht="15" customHeight="1" x14ac:dyDescent="0.15">
      <c r="A14" s="191" t="str">
        <f>IF(貼り付け!N3="","",貼り付け!N3)</f>
        <v>ＦＰＡ－３ (UN/16KG)</v>
      </c>
      <c r="B14" s="253"/>
      <c r="C14" s="190"/>
      <c r="D14" s="182"/>
      <c r="E14" s="183"/>
      <c r="F14" s="183"/>
      <c r="G14" s="183"/>
      <c r="H14" s="115"/>
      <c r="I14" s="182"/>
      <c r="J14" s="252"/>
      <c r="K14" s="186"/>
      <c r="L14" s="30"/>
    </row>
    <row r="15" spans="1:15" ht="15" customHeight="1" x14ac:dyDescent="0.15">
      <c r="A15" s="187" t="str">
        <f>IF(貼り付け!M4="","",貼り付け!M4)</f>
        <v/>
      </c>
      <c r="B15" s="193"/>
      <c r="C15" s="189" t="str">
        <f>IF(貼り付け!R4="","",貼り付け!R4)</f>
        <v/>
      </c>
      <c r="D15" s="179"/>
      <c r="E15" s="180"/>
      <c r="F15" s="180"/>
      <c r="G15" s="180"/>
      <c r="H15" s="114"/>
      <c r="I15" s="179" t="str">
        <f t="shared" ref="I15" si="0">IF(C15="","",1)</f>
        <v/>
      </c>
      <c r="J15" s="251" t="s">
        <v>140</v>
      </c>
      <c r="K15" s="185" t="str">
        <f t="shared" ref="K15" si="1">IF(C15=1,"",C15)</f>
        <v/>
      </c>
      <c r="L15" s="30"/>
    </row>
    <row r="16" spans="1:15" ht="15" customHeight="1" x14ac:dyDescent="0.15">
      <c r="A16" s="196" t="str">
        <f>IF(貼り付け!N4="","",貼り付け!N4)</f>
        <v/>
      </c>
      <c r="B16" s="254"/>
      <c r="C16" s="190"/>
      <c r="D16" s="182"/>
      <c r="E16" s="183"/>
      <c r="F16" s="183"/>
      <c r="G16" s="183"/>
      <c r="H16" s="115"/>
      <c r="I16" s="182"/>
      <c r="J16" s="252"/>
      <c r="K16" s="186"/>
      <c r="L16" s="30"/>
    </row>
    <row r="17" spans="1:12" ht="15" customHeight="1" x14ac:dyDescent="0.15">
      <c r="A17" s="187" t="str">
        <f>IF(貼り付け!M5="","",貼り付け!M5)</f>
        <v/>
      </c>
      <c r="B17" s="193"/>
      <c r="C17" s="189" t="str">
        <f>IF(貼り付け!R5="","",貼り付け!R5)</f>
        <v/>
      </c>
      <c r="D17" s="179"/>
      <c r="E17" s="180"/>
      <c r="F17" s="180"/>
      <c r="G17" s="180"/>
      <c r="H17" s="114"/>
      <c r="I17" s="179" t="str">
        <f t="shared" ref="I17" si="2">IF(C17="","",1)</f>
        <v/>
      </c>
      <c r="J17" s="251" t="s">
        <v>140</v>
      </c>
      <c r="K17" s="185" t="str">
        <f t="shared" ref="K17" si="3">IF(C17=1,"",C17)</f>
        <v/>
      </c>
      <c r="L17" s="30"/>
    </row>
    <row r="18" spans="1:12" ht="15" customHeight="1" x14ac:dyDescent="0.15">
      <c r="A18" s="196" t="str">
        <f>IF(貼り付け!N5="","",貼り付け!N5)</f>
        <v/>
      </c>
      <c r="B18" s="254"/>
      <c r="C18" s="190"/>
      <c r="D18" s="182"/>
      <c r="E18" s="183"/>
      <c r="F18" s="183"/>
      <c r="G18" s="183"/>
      <c r="H18" s="115"/>
      <c r="I18" s="182"/>
      <c r="J18" s="252"/>
      <c r="K18" s="186"/>
      <c r="L18" s="30"/>
    </row>
    <row r="19" spans="1:12" ht="15" customHeight="1" x14ac:dyDescent="0.15">
      <c r="A19" s="187" t="str">
        <f>IF(貼り付け!M6="","",貼り付け!M6)</f>
        <v/>
      </c>
      <c r="B19" s="193"/>
      <c r="C19" s="189" t="str">
        <f>IF(貼り付け!R6="","",貼り付け!R6)</f>
        <v/>
      </c>
      <c r="D19" s="179"/>
      <c r="E19" s="180"/>
      <c r="F19" s="180"/>
      <c r="G19" s="180"/>
      <c r="H19" s="114"/>
      <c r="I19" s="179" t="str">
        <f t="shared" ref="I19" si="4">IF(C19="","",1)</f>
        <v/>
      </c>
      <c r="J19" s="251" t="s">
        <v>140</v>
      </c>
      <c r="K19" s="185" t="str">
        <f t="shared" ref="K19" si="5">IF(C19=1,"",C19)</f>
        <v/>
      </c>
      <c r="L19" s="30"/>
    </row>
    <row r="20" spans="1:12" ht="15" customHeight="1" x14ac:dyDescent="0.15">
      <c r="A20" s="191" t="str">
        <f>IF(貼り付け!N6="","",貼り付け!N6)</f>
        <v/>
      </c>
      <c r="B20" s="253"/>
      <c r="C20" s="190"/>
      <c r="D20" s="182"/>
      <c r="E20" s="183"/>
      <c r="F20" s="183"/>
      <c r="G20" s="183"/>
      <c r="H20" s="115"/>
      <c r="I20" s="182"/>
      <c r="J20" s="252"/>
      <c r="K20" s="186"/>
      <c r="L20" s="30"/>
    </row>
    <row r="21" spans="1:12" ht="15" customHeight="1" x14ac:dyDescent="0.15">
      <c r="A21" s="187" t="str">
        <f>IF(貼り付け!M7="","",貼り付け!M7)</f>
        <v/>
      </c>
      <c r="B21" s="193"/>
      <c r="C21" s="189" t="str">
        <f>IF(貼り付け!R7="","",貼り付け!R7)</f>
        <v/>
      </c>
      <c r="D21" s="179"/>
      <c r="E21" s="180"/>
      <c r="F21" s="180"/>
      <c r="G21" s="180"/>
      <c r="H21" s="114"/>
      <c r="I21" s="179" t="str">
        <f t="shared" ref="I21" si="6">IF(C21="","",1)</f>
        <v/>
      </c>
      <c r="J21" s="251" t="s">
        <v>140</v>
      </c>
      <c r="K21" s="185" t="str">
        <f t="shared" ref="K21" si="7">IF(C21=1,"",C21)</f>
        <v/>
      </c>
      <c r="L21" s="30"/>
    </row>
    <row r="22" spans="1:12" ht="15" customHeight="1" x14ac:dyDescent="0.15">
      <c r="A22" s="191" t="str">
        <f>IF(貼り付け!N7="","",貼り付け!N7)</f>
        <v/>
      </c>
      <c r="B22" s="253"/>
      <c r="C22" s="190"/>
      <c r="D22" s="182"/>
      <c r="E22" s="183"/>
      <c r="F22" s="183"/>
      <c r="G22" s="183"/>
      <c r="H22" s="115"/>
      <c r="I22" s="182"/>
      <c r="J22" s="252"/>
      <c r="K22" s="186"/>
      <c r="L22" s="30"/>
    </row>
    <row r="23" spans="1:12" ht="15" customHeight="1" x14ac:dyDescent="0.15">
      <c r="A23" s="187" t="str">
        <f>IF(貼り付け!M8="","",貼り付け!M8)</f>
        <v/>
      </c>
      <c r="B23" s="193"/>
      <c r="C23" s="189" t="str">
        <f>IF(貼り付け!R8="","",貼り付け!R8)</f>
        <v/>
      </c>
      <c r="D23" s="179"/>
      <c r="E23" s="180"/>
      <c r="F23" s="180"/>
      <c r="G23" s="180"/>
      <c r="H23" s="114"/>
      <c r="I23" s="179" t="str">
        <f t="shared" ref="I23" si="8">IF(C23="","",1)</f>
        <v/>
      </c>
      <c r="J23" s="251" t="s">
        <v>140</v>
      </c>
      <c r="K23" s="185" t="str">
        <f t="shared" ref="K23" si="9">IF(C23=1,"",C23)</f>
        <v/>
      </c>
      <c r="L23" s="30"/>
    </row>
    <row r="24" spans="1:12" ht="15" customHeight="1" x14ac:dyDescent="0.15">
      <c r="A24" s="191" t="str">
        <f>IF(貼り付け!N8="","",貼り付け!N8)</f>
        <v/>
      </c>
      <c r="B24" s="253"/>
      <c r="C24" s="190"/>
      <c r="D24" s="182"/>
      <c r="E24" s="183"/>
      <c r="F24" s="183"/>
      <c r="G24" s="183"/>
      <c r="H24" s="115"/>
      <c r="I24" s="182"/>
      <c r="J24" s="252"/>
      <c r="K24" s="186"/>
      <c r="L24" s="30"/>
    </row>
    <row r="25" spans="1:12" ht="15" customHeight="1" x14ac:dyDescent="0.15">
      <c r="A25" s="187" t="str">
        <f>IF(貼り付け!M9="","",貼り付け!M9)</f>
        <v/>
      </c>
      <c r="B25" s="193"/>
      <c r="C25" s="189" t="str">
        <f>IF(貼り付け!R9="","",貼り付け!R9)</f>
        <v/>
      </c>
      <c r="D25" s="179"/>
      <c r="E25" s="180"/>
      <c r="F25" s="180"/>
      <c r="G25" s="180"/>
      <c r="H25" s="114"/>
      <c r="I25" s="179" t="str">
        <f t="shared" ref="I25" si="10">IF(C25="","",1)</f>
        <v/>
      </c>
      <c r="J25" s="251" t="s">
        <v>140</v>
      </c>
      <c r="K25" s="185" t="str">
        <f t="shared" ref="K25" si="11">IF(C25=1,"",C25)</f>
        <v/>
      </c>
      <c r="L25" s="30"/>
    </row>
    <row r="26" spans="1:12" ht="15" customHeight="1" x14ac:dyDescent="0.15">
      <c r="A26" s="191" t="str">
        <f>IF(貼り付け!N9="","",貼り付け!N9)</f>
        <v/>
      </c>
      <c r="B26" s="253"/>
      <c r="C26" s="190"/>
      <c r="D26" s="182"/>
      <c r="E26" s="183"/>
      <c r="F26" s="183"/>
      <c r="G26" s="183"/>
      <c r="H26" s="115"/>
      <c r="I26" s="182"/>
      <c r="J26" s="252"/>
      <c r="K26" s="186"/>
      <c r="L26" s="30"/>
    </row>
    <row r="27" spans="1:12" ht="15" customHeight="1" x14ac:dyDescent="0.15">
      <c r="A27" s="187" t="str">
        <f>IF(貼り付け!M10="","",貼り付け!M10)</f>
        <v/>
      </c>
      <c r="B27" s="193"/>
      <c r="C27" s="189" t="str">
        <f>IF(貼り付け!R10="","",貼り付け!R10)</f>
        <v/>
      </c>
      <c r="D27" s="179"/>
      <c r="E27" s="180"/>
      <c r="F27" s="180"/>
      <c r="G27" s="180"/>
      <c r="H27" s="114"/>
      <c r="I27" s="179" t="str">
        <f t="shared" ref="I27" si="12">IF(C27="","",1)</f>
        <v/>
      </c>
      <c r="J27" s="251" t="s">
        <v>140</v>
      </c>
      <c r="K27" s="185" t="str">
        <f t="shared" ref="K27" si="13">IF(C27=1,"",C27)</f>
        <v/>
      </c>
      <c r="L27" s="30"/>
    </row>
    <row r="28" spans="1:12" ht="15" customHeight="1" x14ac:dyDescent="0.15">
      <c r="A28" s="191" t="str">
        <f>IF(貼り付け!N10="","",貼り付け!N10)</f>
        <v/>
      </c>
      <c r="B28" s="253"/>
      <c r="C28" s="190"/>
      <c r="D28" s="182"/>
      <c r="E28" s="183"/>
      <c r="F28" s="183"/>
      <c r="G28" s="183"/>
      <c r="H28" s="115"/>
      <c r="I28" s="182"/>
      <c r="J28" s="252"/>
      <c r="K28" s="186"/>
      <c r="L28" s="30"/>
    </row>
    <row r="29" spans="1:12" ht="15" customHeight="1" x14ac:dyDescent="0.15">
      <c r="A29" s="187" t="str">
        <f>IF(貼り付け!M11="","",貼り付け!M11)</f>
        <v/>
      </c>
      <c r="B29" s="193"/>
      <c r="C29" s="189" t="str">
        <f>IF(貼り付け!R11="","",貼り付け!R11)</f>
        <v/>
      </c>
      <c r="D29" s="179"/>
      <c r="E29" s="180"/>
      <c r="F29" s="180"/>
      <c r="G29" s="180"/>
      <c r="H29" s="114"/>
      <c r="I29" s="179" t="str">
        <f t="shared" ref="I29" si="14">IF(C29="","",1)</f>
        <v/>
      </c>
      <c r="J29" s="251" t="s">
        <v>140</v>
      </c>
      <c r="K29" s="185" t="str">
        <f t="shared" ref="K29" si="15">IF(C29=1,"",C29)</f>
        <v/>
      </c>
      <c r="L29" s="30"/>
    </row>
    <row r="30" spans="1:12" ht="15" customHeight="1" x14ac:dyDescent="0.15">
      <c r="A30" s="191" t="str">
        <f>IF(貼り付け!N11="","",貼り付け!N11)</f>
        <v/>
      </c>
      <c r="B30" s="253"/>
      <c r="C30" s="190"/>
      <c r="D30" s="182"/>
      <c r="E30" s="183"/>
      <c r="F30" s="183"/>
      <c r="G30" s="183"/>
      <c r="H30" s="115"/>
      <c r="I30" s="182"/>
      <c r="J30" s="252"/>
      <c r="K30" s="186"/>
      <c r="L30" s="30"/>
    </row>
    <row r="31" spans="1:12" ht="15" customHeight="1" x14ac:dyDescent="0.15">
      <c r="A31" s="187" t="str">
        <f>IF(貼り付け!M12="","",貼り付け!M12)</f>
        <v/>
      </c>
      <c r="B31" s="193"/>
      <c r="C31" s="189" t="str">
        <f>IF(貼り付け!R12="","",貼り付け!R12)</f>
        <v/>
      </c>
      <c r="D31" s="179"/>
      <c r="E31" s="180"/>
      <c r="F31" s="180"/>
      <c r="G31" s="180"/>
      <c r="H31" s="114"/>
      <c r="I31" s="179" t="str">
        <f t="shared" ref="I31" si="16">IF(C31="","",1)</f>
        <v/>
      </c>
      <c r="J31" s="251" t="s">
        <v>140</v>
      </c>
      <c r="K31" s="185" t="str">
        <f t="shared" ref="K31" si="17">IF(C31=1,"",C31)</f>
        <v/>
      </c>
      <c r="L31" s="30"/>
    </row>
    <row r="32" spans="1:12" ht="15" customHeight="1" x14ac:dyDescent="0.15">
      <c r="A32" s="191" t="str">
        <f>IF(貼り付け!N12="","",貼り付け!N12)</f>
        <v/>
      </c>
      <c r="B32" s="253"/>
      <c r="C32" s="190"/>
      <c r="D32" s="182"/>
      <c r="E32" s="183"/>
      <c r="F32" s="183"/>
      <c r="G32" s="183"/>
      <c r="H32" s="115"/>
      <c r="I32" s="182"/>
      <c r="J32" s="252"/>
      <c r="K32" s="186"/>
      <c r="L32" s="30"/>
    </row>
    <row r="33" spans="1:12" ht="15" customHeight="1" x14ac:dyDescent="0.15">
      <c r="A33" s="187" t="str">
        <f>IF(貼り付け!M13="","",貼り付け!M13)</f>
        <v/>
      </c>
      <c r="B33" s="193"/>
      <c r="C33" s="189" t="str">
        <f>IF(貼り付け!R13="","",貼り付け!R13)</f>
        <v/>
      </c>
      <c r="D33" s="179"/>
      <c r="E33" s="180"/>
      <c r="F33" s="180"/>
      <c r="G33" s="180"/>
      <c r="H33" s="114"/>
      <c r="I33" s="179" t="str">
        <f t="shared" ref="I33" si="18">IF(C33="","",1)</f>
        <v/>
      </c>
      <c r="J33" s="251" t="s">
        <v>140</v>
      </c>
      <c r="K33" s="185" t="str">
        <f t="shared" ref="K33" si="19">IF(C33=1,"",C33)</f>
        <v/>
      </c>
      <c r="L33" s="30"/>
    </row>
    <row r="34" spans="1:12" ht="15" customHeight="1" x14ac:dyDescent="0.15">
      <c r="A34" s="191" t="str">
        <f>IF(貼り付け!N13="","",貼り付け!N13)</f>
        <v/>
      </c>
      <c r="B34" s="253"/>
      <c r="C34" s="190"/>
      <c r="D34" s="182"/>
      <c r="E34" s="183"/>
      <c r="F34" s="183"/>
      <c r="G34" s="183"/>
      <c r="H34" s="115"/>
      <c r="I34" s="182"/>
      <c r="J34" s="252"/>
      <c r="K34" s="186"/>
      <c r="L34" s="30"/>
    </row>
    <row r="35" spans="1:12" ht="15" customHeight="1" x14ac:dyDescent="0.15">
      <c r="A35" s="187" t="str">
        <f>IF(貼り付け!M14="","",貼り付け!M14)</f>
        <v/>
      </c>
      <c r="B35" s="193"/>
      <c r="C35" s="189" t="str">
        <f>IF(貼り付け!R14="","",貼り付け!R14)</f>
        <v/>
      </c>
      <c r="D35" s="179"/>
      <c r="E35" s="180"/>
      <c r="F35" s="180"/>
      <c r="G35" s="180"/>
      <c r="H35" s="114"/>
      <c r="I35" s="179" t="str">
        <f t="shared" ref="I35" si="20">IF(C35="","",1)</f>
        <v/>
      </c>
      <c r="J35" s="251" t="s">
        <v>140</v>
      </c>
      <c r="K35" s="185" t="str">
        <f t="shared" ref="K35" si="21">IF(C35=1,"",C35)</f>
        <v/>
      </c>
      <c r="L35" s="30"/>
    </row>
    <row r="36" spans="1:12" ht="15" customHeight="1" thickBot="1" x14ac:dyDescent="0.2">
      <c r="A36" s="249" t="str">
        <f>IF(貼り付け!N14="","",貼り付け!N14)</f>
        <v/>
      </c>
      <c r="B36" s="250"/>
      <c r="C36" s="248"/>
      <c r="D36" s="182"/>
      <c r="E36" s="183"/>
      <c r="F36" s="183"/>
      <c r="G36" s="183"/>
      <c r="H36" s="116"/>
      <c r="I36" s="182"/>
      <c r="J36" s="252"/>
      <c r="K36" s="186"/>
      <c r="L36" s="30"/>
    </row>
    <row r="37" spans="1:12" ht="30" customHeight="1" thickBot="1" x14ac:dyDescent="0.2">
      <c r="A37" s="26" t="s">
        <v>64</v>
      </c>
      <c r="B37" s="163">
        <f>SUM(C13:C36)</f>
        <v>3</v>
      </c>
      <c r="C37" s="164"/>
      <c r="D37" s="271" t="s">
        <v>66</v>
      </c>
      <c r="E37" s="272"/>
      <c r="F37" s="273"/>
      <c r="G37" s="167"/>
      <c r="H37" s="167"/>
      <c r="I37" s="167"/>
      <c r="J37" s="167"/>
      <c r="K37" s="168"/>
    </row>
    <row r="38" spans="1:12" x14ac:dyDescent="0.15">
      <c r="D38" s="274" t="s">
        <v>2</v>
      </c>
      <c r="E38" s="275"/>
      <c r="F38" s="276">
        <f>B5</f>
        <v>20170804</v>
      </c>
      <c r="G38" s="277"/>
      <c r="H38" s="277"/>
      <c r="I38" s="277"/>
      <c r="J38" s="277"/>
      <c r="K38" s="278"/>
    </row>
    <row r="39" spans="1:12" x14ac:dyDescent="0.15">
      <c r="D39" s="171"/>
      <c r="E39" s="172"/>
      <c r="F39" s="279"/>
      <c r="G39" s="280"/>
      <c r="H39" s="280"/>
      <c r="I39" s="280"/>
      <c r="J39" s="280"/>
      <c r="K39" s="281"/>
    </row>
    <row r="41" spans="1:12" ht="14.25" x14ac:dyDescent="0.15">
      <c r="A41" s="51" t="s">
        <v>115</v>
      </c>
    </row>
    <row r="66" spans="13:14" x14ac:dyDescent="0.15">
      <c r="M66" t="s">
        <v>97</v>
      </c>
    </row>
    <row r="67" spans="13:14" ht="21.75" thickBot="1" x14ac:dyDescent="0.2">
      <c r="M67" s="36" t="s">
        <v>72</v>
      </c>
    </row>
    <row r="68" spans="13:14" ht="15" thickBot="1" x14ac:dyDescent="0.2">
      <c r="M68" s="82" t="s">
        <v>611</v>
      </c>
      <c r="N68" s="84" t="s">
        <v>612</v>
      </c>
    </row>
    <row r="69" spans="13:14" x14ac:dyDescent="0.15">
      <c r="M69" s="85" t="str">
        <f>IF(貼り付け!M3="","",貼り付け!M3)</f>
        <v>S1-FPA3-U-EX</v>
      </c>
    </row>
    <row r="70" spans="13:14" x14ac:dyDescent="0.15">
      <c r="M70" s="80" t="str">
        <f>IF(貼り付け!M4="","",貼り付け!M4)</f>
        <v/>
      </c>
    </row>
    <row r="71" spans="13:14" x14ac:dyDescent="0.15">
      <c r="M71" s="80" t="str">
        <f>IF(貼り付け!M5="","",貼り付け!M5)</f>
        <v/>
      </c>
    </row>
    <row r="72" spans="13:14" x14ac:dyDescent="0.15">
      <c r="M72" s="80" t="str">
        <f>IF(貼り付け!M6="","",貼り付け!M6)</f>
        <v/>
      </c>
    </row>
    <row r="73" spans="13:14" x14ac:dyDescent="0.15">
      <c r="M73" s="80" t="str">
        <f>IF(貼り付け!M7="","",貼り付け!M7)</f>
        <v/>
      </c>
    </row>
    <row r="74" spans="13:14" x14ac:dyDescent="0.15">
      <c r="M74" s="80" t="str">
        <f>IF(貼り付け!M8="","",貼り付け!M8)</f>
        <v/>
      </c>
    </row>
    <row r="75" spans="13:14" x14ac:dyDescent="0.15">
      <c r="M75" s="80" t="str">
        <f>IF(貼り付け!M9="","",貼り付け!M9)</f>
        <v/>
      </c>
    </row>
    <row r="76" spans="13:14" x14ac:dyDescent="0.15">
      <c r="M76" s="80" t="str">
        <f>IF(貼り付け!M10="","",貼り付け!M10)</f>
        <v/>
      </c>
    </row>
    <row r="77" spans="13:14" x14ac:dyDescent="0.15">
      <c r="M77" s="80" t="str">
        <f>IF(貼り付け!M11="","",貼り付け!M11)</f>
        <v/>
      </c>
    </row>
    <row r="78" spans="13:14" x14ac:dyDescent="0.15">
      <c r="M78" s="80" t="str">
        <f>IF(貼り付け!M12="","",貼り付け!M12)</f>
        <v/>
      </c>
    </row>
    <row r="79" spans="13:14" x14ac:dyDescent="0.15">
      <c r="M79" s="80" t="str">
        <f>IF(貼り付け!M13="","",貼り付け!M13)</f>
        <v/>
      </c>
    </row>
    <row r="80" spans="13:14" ht="14.25" thickBot="1" x14ac:dyDescent="0.2">
      <c r="M80" s="81" t="str">
        <f>IF(貼り付け!M14="","",貼り付け!M14)</f>
        <v/>
      </c>
    </row>
  </sheetData>
  <mergeCells count="112">
    <mergeCell ref="B37:C37"/>
    <mergeCell ref="D37:E37"/>
    <mergeCell ref="F37:K37"/>
    <mergeCell ref="D38:E39"/>
    <mergeCell ref="F38:K39"/>
    <mergeCell ref="A35:B35"/>
    <mergeCell ref="C35:C36"/>
    <mergeCell ref="D35:G36"/>
    <mergeCell ref="I35:I36"/>
    <mergeCell ref="J35:J36"/>
    <mergeCell ref="K35:K36"/>
    <mergeCell ref="A36:B36"/>
    <mergeCell ref="A33:B33"/>
    <mergeCell ref="C33:C34"/>
    <mergeCell ref="D33:G34"/>
    <mergeCell ref="I33:I34"/>
    <mergeCell ref="J33:J34"/>
    <mergeCell ref="K33:K34"/>
    <mergeCell ref="A34:B34"/>
    <mergeCell ref="A31:B31"/>
    <mergeCell ref="C31:C32"/>
    <mergeCell ref="D31:G32"/>
    <mergeCell ref="I31:I32"/>
    <mergeCell ref="J31:J32"/>
    <mergeCell ref="K31:K32"/>
    <mergeCell ref="A32:B32"/>
    <mergeCell ref="A29:B29"/>
    <mergeCell ref="C29:C30"/>
    <mergeCell ref="D29:G30"/>
    <mergeCell ref="I29:I30"/>
    <mergeCell ref="J29:J30"/>
    <mergeCell ref="K29:K30"/>
    <mergeCell ref="A30:B30"/>
    <mergeCell ref="A27:B27"/>
    <mergeCell ref="C27:C28"/>
    <mergeCell ref="D27:G28"/>
    <mergeCell ref="I27:I28"/>
    <mergeCell ref="J27:J28"/>
    <mergeCell ref="K27:K28"/>
    <mergeCell ref="A28:B28"/>
    <mergeCell ref="A25:B25"/>
    <mergeCell ref="C25:C26"/>
    <mergeCell ref="D25:G26"/>
    <mergeCell ref="I25:I26"/>
    <mergeCell ref="J25:J26"/>
    <mergeCell ref="K25:K26"/>
    <mergeCell ref="A26:B26"/>
    <mergeCell ref="A23:B23"/>
    <mergeCell ref="C23:C24"/>
    <mergeCell ref="D23:G24"/>
    <mergeCell ref="I23:I24"/>
    <mergeCell ref="J23:J24"/>
    <mergeCell ref="K23:K24"/>
    <mergeCell ref="A24:B24"/>
    <mergeCell ref="A21:B21"/>
    <mergeCell ref="C21:C22"/>
    <mergeCell ref="D21:G22"/>
    <mergeCell ref="I21:I22"/>
    <mergeCell ref="J21:J22"/>
    <mergeCell ref="K21:K22"/>
    <mergeCell ref="A22:B22"/>
    <mergeCell ref="A19:B19"/>
    <mergeCell ref="C19:C20"/>
    <mergeCell ref="D19:G20"/>
    <mergeCell ref="I19:I20"/>
    <mergeCell ref="J19:J20"/>
    <mergeCell ref="K19:K20"/>
    <mergeCell ref="A20:B20"/>
    <mergeCell ref="A13:B13"/>
    <mergeCell ref="C13:C14"/>
    <mergeCell ref="D13:G14"/>
    <mergeCell ref="I13:I14"/>
    <mergeCell ref="J13:J14"/>
    <mergeCell ref="K13:K14"/>
    <mergeCell ref="A14:B14"/>
    <mergeCell ref="A17:B17"/>
    <mergeCell ref="C17:C18"/>
    <mergeCell ref="D17:G18"/>
    <mergeCell ref="I17:I18"/>
    <mergeCell ref="J17:J18"/>
    <mergeCell ref="K17:K18"/>
    <mergeCell ref="A18:B18"/>
    <mergeCell ref="A15:B15"/>
    <mergeCell ref="C15:C16"/>
    <mergeCell ref="D15:G16"/>
    <mergeCell ref="I15:I16"/>
    <mergeCell ref="J15:J16"/>
    <mergeCell ref="K15:K16"/>
    <mergeCell ref="A16:B16"/>
    <mergeCell ref="E11:K11"/>
    <mergeCell ref="B4:C4"/>
    <mergeCell ref="D4:K4"/>
    <mergeCell ref="B5:C5"/>
    <mergeCell ref="E5:K5"/>
    <mergeCell ref="C6:K6"/>
    <mergeCell ref="B7:C7"/>
    <mergeCell ref="E7:H7"/>
    <mergeCell ref="A12:B12"/>
    <mergeCell ref="D12:H12"/>
    <mergeCell ref="I12:K12"/>
    <mergeCell ref="A1:K1"/>
    <mergeCell ref="B2:C2"/>
    <mergeCell ref="D2:E2"/>
    <mergeCell ref="F2:K2"/>
    <mergeCell ref="B3:C3"/>
    <mergeCell ref="D3:E3"/>
    <mergeCell ref="F3:K3"/>
    <mergeCell ref="A9:A10"/>
    <mergeCell ref="B9:E9"/>
    <mergeCell ref="I9:K9"/>
    <mergeCell ref="B10:E10"/>
    <mergeCell ref="G10:K10"/>
  </mergeCells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186"/>
  <sheetViews>
    <sheetView topLeftCell="A103" workbookViewId="0">
      <selection activeCell="H144" sqref="H144"/>
    </sheetView>
  </sheetViews>
  <sheetFormatPr defaultRowHeight="13.5" x14ac:dyDescent="0.15"/>
  <cols>
    <col min="1" max="1" width="13.75" customWidth="1"/>
    <col min="2" max="2" width="30" bestFit="1" customWidth="1"/>
    <col min="3" max="3" width="46.5" style="57" customWidth="1"/>
    <col min="4" max="4" width="7.625" customWidth="1"/>
    <col min="5" max="5" width="16.25" customWidth="1"/>
    <col min="6" max="6" width="10.875" customWidth="1"/>
    <col min="7" max="7" width="9" style="27"/>
    <col min="8" max="8" width="47.75" bestFit="1" customWidth="1"/>
    <col min="9" max="9" width="40.25" customWidth="1"/>
  </cols>
  <sheetData>
    <row r="1" spans="1:8" x14ac:dyDescent="0.15">
      <c r="A1" t="s">
        <v>11</v>
      </c>
      <c r="B1" t="s">
        <v>408</v>
      </c>
      <c r="C1" s="57" t="s">
        <v>68</v>
      </c>
      <c r="D1" t="s">
        <v>78</v>
      </c>
      <c r="E1" t="s">
        <v>145</v>
      </c>
      <c r="F1">
        <v>426</v>
      </c>
      <c r="G1" s="27">
        <v>3</v>
      </c>
    </row>
    <row r="2" spans="1:8" x14ac:dyDescent="0.15">
      <c r="A2" t="s">
        <v>16</v>
      </c>
      <c r="B2" t="s">
        <v>17</v>
      </c>
      <c r="C2" s="58" t="s">
        <v>146</v>
      </c>
      <c r="D2" t="s">
        <v>78</v>
      </c>
      <c r="E2" t="s">
        <v>147</v>
      </c>
      <c r="F2">
        <v>490</v>
      </c>
      <c r="G2" s="27">
        <v>1444</v>
      </c>
    </row>
    <row r="3" spans="1:8" x14ac:dyDescent="0.15">
      <c r="A3" t="s">
        <v>18</v>
      </c>
      <c r="B3" t="s">
        <v>17</v>
      </c>
      <c r="D3" t="s">
        <v>78</v>
      </c>
      <c r="E3" t="s">
        <v>148</v>
      </c>
      <c r="F3">
        <v>479</v>
      </c>
      <c r="G3" s="27" t="s">
        <v>149</v>
      </c>
    </row>
    <row r="4" spans="1:8" x14ac:dyDescent="0.15">
      <c r="A4" t="s">
        <v>349</v>
      </c>
      <c r="B4" t="s">
        <v>350</v>
      </c>
      <c r="C4" s="58" t="s">
        <v>173</v>
      </c>
      <c r="D4" t="s">
        <v>78</v>
      </c>
      <c r="E4" t="s">
        <v>165</v>
      </c>
      <c r="F4">
        <v>490</v>
      </c>
      <c r="G4" s="27">
        <v>1444</v>
      </c>
      <c r="H4" t="s">
        <v>174</v>
      </c>
    </row>
    <row r="5" spans="1:8" x14ac:dyDescent="0.15">
      <c r="A5" t="s">
        <v>150</v>
      </c>
      <c r="B5" t="s">
        <v>151</v>
      </c>
      <c r="D5" t="s">
        <v>78</v>
      </c>
      <c r="E5" t="s">
        <v>152</v>
      </c>
      <c r="F5">
        <v>498</v>
      </c>
      <c r="G5" s="27" t="s">
        <v>153</v>
      </c>
    </row>
    <row r="6" spans="1:8" x14ac:dyDescent="0.15">
      <c r="A6" t="s">
        <v>154</v>
      </c>
      <c r="B6" t="s">
        <v>419</v>
      </c>
      <c r="C6" s="57" t="s">
        <v>155</v>
      </c>
      <c r="D6" t="s">
        <v>78</v>
      </c>
      <c r="E6" t="s">
        <v>148</v>
      </c>
      <c r="F6">
        <v>479</v>
      </c>
      <c r="G6" s="27" t="s">
        <v>149</v>
      </c>
      <c r="H6" t="s">
        <v>654</v>
      </c>
    </row>
    <row r="7" spans="1:8" x14ac:dyDescent="0.15">
      <c r="A7" t="s">
        <v>156</v>
      </c>
      <c r="B7" t="s">
        <v>419</v>
      </c>
      <c r="C7" s="57" t="s">
        <v>157</v>
      </c>
      <c r="D7" t="s">
        <v>78</v>
      </c>
      <c r="E7" t="s">
        <v>158</v>
      </c>
      <c r="F7">
        <v>498</v>
      </c>
      <c r="G7" s="27" t="s">
        <v>153</v>
      </c>
      <c r="H7" t="s">
        <v>654</v>
      </c>
    </row>
    <row r="8" spans="1:8" x14ac:dyDescent="0.15">
      <c r="A8" t="s">
        <v>159</v>
      </c>
      <c r="B8" t="s">
        <v>419</v>
      </c>
      <c r="C8" s="57" t="s">
        <v>160</v>
      </c>
      <c r="D8" t="s">
        <v>78</v>
      </c>
      <c r="E8" t="s">
        <v>161</v>
      </c>
      <c r="F8">
        <v>286</v>
      </c>
      <c r="G8" s="27" t="s">
        <v>162</v>
      </c>
      <c r="H8" t="s">
        <v>655</v>
      </c>
    </row>
    <row r="9" spans="1:8" x14ac:dyDescent="0.15">
      <c r="A9" t="s">
        <v>163</v>
      </c>
      <c r="B9" t="s">
        <v>419</v>
      </c>
      <c r="C9" s="58" t="s">
        <v>164</v>
      </c>
      <c r="D9" t="s">
        <v>78</v>
      </c>
      <c r="E9" t="s">
        <v>165</v>
      </c>
      <c r="F9">
        <v>490</v>
      </c>
      <c r="G9" s="27">
        <v>1444</v>
      </c>
      <c r="H9" t="s">
        <v>654</v>
      </c>
    </row>
    <row r="10" spans="1:8" x14ac:dyDescent="0.15">
      <c r="A10" t="s">
        <v>316</v>
      </c>
      <c r="B10" t="s">
        <v>419</v>
      </c>
      <c r="C10" s="58" t="s">
        <v>317</v>
      </c>
      <c r="D10" t="s">
        <v>78</v>
      </c>
      <c r="E10" t="s">
        <v>318</v>
      </c>
      <c r="F10">
        <v>287</v>
      </c>
      <c r="G10" s="27" t="s">
        <v>319</v>
      </c>
      <c r="H10" t="s">
        <v>654</v>
      </c>
    </row>
    <row r="11" spans="1:8" x14ac:dyDescent="0.15">
      <c r="A11" t="s">
        <v>656</v>
      </c>
      <c r="B11" t="s">
        <v>419</v>
      </c>
      <c r="C11" s="58" t="s">
        <v>657</v>
      </c>
      <c r="D11" s="58" t="s">
        <v>658</v>
      </c>
      <c r="E11" s="58" t="s">
        <v>659</v>
      </c>
      <c r="F11">
        <v>479</v>
      </c>
      <c r="G11" s="27" t="s">
        <v>660</v>
      </c>
      <c r="H11" t="s">
        <v>654</v>
      </c>
    </row>
    <row r="12" spans="1:8" x14ac:dyDescent="0.15">
      <c r="A12" t="s">
        <v>19</v>
      </c>
      <c r="B12" t="s">
        <v>420</v>
      </c>
      <c r="C12" s="58" t="s">
        <v>155</v>
      </c>
      <c r="D12" t="s">
        <v>78</v>
      </c>
      <c r="E12" t="s">
        <v>148</v>
      </c>
      <c r="F12">
        <v>479</v>
      </c>
      <c r="G12" s="27" t="s">
        <v>149</v>
      </c>
      <c r="H12" t="s">
        <v>424</v>
      </c>
    </row>
    <row r="13" spans="1:8" x14ac:dyDescent="0.15">
      <c r="A13" t="s">
        <v>20</v>
      </c>
      <c r="B13" t="s">
        <v>420</v>
      </c>
      <c r="C13" s="57" t="s">
        <v>146</v>
      </c>
      <c r="D13" t="s">
        <v>78</v>
      </c>
      <c r="E13" t="s">
        <v>447</v>
      </c>
      <c r="F13">
        <v>490</v>
      </c>
      <c r="G13" s="27">
        <v>1444</v>
      </c>
      <c r="H13" t="s">
        <v>548</v>
      </c>
    </row>
    <row r="14" spans="1:8" x14ac:dyDescent="0.15">
      <c r="A14" t="s">
        <v>166</v>
      </c>
      <c r="B14" t="s">
        <v>420</v>
      </c>
      <c r="C14" s="57" t="s">
        <v>160</v>
      </c>
      <c r="D14" t="s">
        <v>78</v>
      </c>
      <c r="E14" t="s">
        <v>161</v>
      </c>
      <c r="F14">
        <v>286</v>
      </c>
      <c r="G14" s="27" t="s">
        <v>167</v>
      </c>
      <c r="H14" t="s">
        <v>424</v>
      </c>
    </row>
    <row r="15" spans="1:8" x14ac:dyDescent="0.15">
      <c r="A15" t="s">
        <v>168</v>
      </c>
      <c r="B15" t="s">
        <v>420</v>
      </c>
      <c r="C15" s="57" t="s">
        <v>169</v>
      </c>
      <c r="D15" t="s">
        <v>78</v>
      </c>
      <c r="E15" t="s">
        <v>152</v>
      </c>
      <c r="F15">
        <v>498</v>
      </c>
      <c r="G15" s="27" t="s">
        <v>153</v>
      </c>
      <c r="H15" t="s">
        <v>424</v>
      </c>
    </row>
    <row r="16" spans="1:8" x14ac:dyDescent="0.15">
      <c r="A16" t="s">
        <v>388</v>
      </c>
      <c r="B16" t="s">
        <v>420</v>
      </c>
      <c r="C16" s="58" t="s">
        <v>389</v>
      </c>
      <c r="D16" s="58" t="s">
        <v>390</v>
      </c>
      <c r="E16" s="58" t="s">
        <v>391</v>
      </c>
      <c r="F16">
        <v>287</v>
      </c>
      <c r="G16" s="28" t="s">
        <v>392</v>
      </c>
      <c r="H16" t="s">
        <v>393</v>
      </c>
    </row>
    <row r="17" spans="1:8" x14ac:dyDescent="0.15">
      <c r="A17" t="s">
        <v>558</v>
      </c>
      <c r="B17" t="s">
        <v>420</v>
      </c>
      <c r="C17" s="58" t="s">
        <v>559</v>
      </c>
      <c r="D17" s="58" t="s">
        <v>560</v>
      </c>
      <c r="E17" s="58" t="s">
        <v>561</v>
      </c>
      <c r="F17">
        <v>479</v>
      </c>
      <c r="G17" s="28" t="s">
        <v>562</v>
      </c>
      <c r="H17" t="s">
        <v>563</v>
      </c>
    </row>
    <row r="18" spans="1:8" x14ac:dyDescent="0.15">
      <c r="A18" t="s">
        <v>631</v>
      </c>
      <c r="B18" t="s">
        <v>420</v>
      </c>
      <c r="C18" s="58" t="s">
        <v>173</v>
      </c>
      <c r="D18" s="58" t="s">
        <v>78</v>
      </c>
      <c r="E18" t="s">
        <v>165</v>
      </c>
      <c r="F18">
        <v>490</v>
      </c>
      <c r="G18" s="27">
        <v>1444</v>
      </c>
      <c r="H18" t="s">
        <v>548</v>
      </c>
    </row>
    <row r="19" spans="1:8" x14ac:dyDescent="0.15">
      <c r="A19" t="s">
        <v>170</v>
      </c>
      <c r="B19" t="s">
        <v>421</v>
      </c>
      <c r="C19" s="57" t="s">
        <v>155</v>
      </c>
      <c r="D19" t="s">
        <v>78</v>
      </c>
      <c r="E19" t="s">
        <v>148</v>
      </c>
      <c r="F19">
        <v>498</v>
      </c>
      <c r="G19" s="27" t="s">
        <v>153</v>
      </c>
    </row>
    <row r="20" spans="1:8" x14ac:dyDescent="0.15">
      <c r="A20" t="s">
        <v>171</v>
      </c>
      <c r="B20" t="s">
        <v>422</v>
      </c>
      <c r="C20" s="57" t="s">
        <v>157</v>
      </c>
      <c r="D20" t="s">
        <v>78</v>
      </c>
      <c r="E20" t="s">
        <v>158</v>
      </c>
      <c r="F20">
        <v>489</v>
      </c>
      <c r="G20" s="27" t="s">
        <v>153</v>
      </c>
      <c r="H20" t="s">
        <v>91</v>
      </c>
    </row>
    <row r="21" spans="1:8" x14ac:dyDescent="0.15">
      <c r="A21" t="s">
        <v>172</v>
      </c>
      <c r="B21" t="s">
        <v>421</v>
      </c>
      <c r="C21" s="58" t="s">
        <v>173</v>
      </c>
      <c r="D21" t="s">
        <v>78</v>
      </c>
      <c r="E21" t="s">
        <v>165</v>
      </c>
      <c r="F21">
        <v>490</v>
      </c>
      <c r="G21" s="27">
        <v>1444</v>
      </c>
      <c r="H21" t="s">
        <v>174</v>
      </c>
    </row>
    <row r="22" spans="1:8" x14ac:dyDescent="0.15">
      <c r="A22" t="s">
        <v>175</v>
      </c>
      <c r="B22" t="s">
        <v>400</v>
      </c>
      <c r="C22" s="57" t="s">
        <v>155</v>
      </c>
      <c r="D22" t="s">
        <v>78</v>
      </c>
      <c r="E22" t="s">
        <v>148</v>
      </c>
      <c r="F22">
        <v>479</v>
      </c>
      <c r="G22" s="27" t="s">
        <v>149</v>
      </c>
      <c r="H22" t="s">
        <v>91</v>
      </c>
    </row>
    <row r="23" spans="1:8" x14ac:dyDescent="0.15">
      <c r="A23" t="s">
        <v>176</v>
      </c>
      <c r="B23" t="s">
        <v>400</v>
      </c>
      <c r="C23" s="57" t="s">
        <v>157</v>
      </c>
      <c r="D23" t="s">
        <v>78</v>
      </c>
      <c r="E23" t="s">
        <v>158</v>
      </c>
      <c r="F23">
        <v>498</v>
      </c>
      <c r="G23" s="27" t="s">
        <v>153</v>
      </c>
      <c r="H23" t="s">
        <v>91</v>
      </c>
    </row>
    <row r="24" spans="1:8" x14ac:dyDescent="0.15">
      <c r="A24" t="s">
        <v>177</v>
      </c>
      <c r="B24" t="s">
        <v>400</v>
      </c>
      <c r="C24" s="57" t="s">
        <v>160</v>
      </c>
      <c r="D24" t="s">
        <v>78</v>
      </c>
      <c r="E24" t="s">
        <v>161</v>
      </c>
      <c r="F24">
        <v>286</v>
      </c>
      <c r="G24" s="27" t="s">
        <v>167</v>
      </c>
      <c r="H24" t="s">
        <v>91</v>
      </c>
    </row>
    <row r="25" spans="1:8" x14ac:dyDescent="0.15">
      <c r="A25" t="s">
        <v>178</v>
      </c>
      <c r="B25" t="s">
        <v>400</v>
      </c>
      <c r="C25" s="57" t="s">
        <v>155</v>
      </c>
      <c r="D25" t="s">
        <v>78</v>
      </c>
      <c r="E25" t="s">
        <v>148</v>
      </c>
      <c r="F25">
        <v>479</v>
      </c>
      <c r="G25" s="27" t="s">
        <v>149</v>
      </c>
      <c r="H25" t="s">
        <v>91</v>
      </c>
    </row>
    <row r="26" spans="1:8" x14ac:dyDescent="0.15">
      <c r="A26" t="s">
        <v>179</v>
      </c>
      <c r="B26" t="s">
        <v>400</v>
      </c>
      <c r="C26" s="58" t="s">
        <v>146</v>
      </c>
      <c r="D26" t="s">
        <v>78</v>
      </c>
      <c r="E26" t="s">
        <v>147</v>
      </c>
      <c r="F26">
        <v>498</v>
      </c>
      <c r="G26" s="27" t="s">
        <v>153</v>
      </c>
      <c r="H26" t="s">
        <v>91</v>
      </c>
    </row>
    <row r="27" spans="1:8" x14ac:dyDescent="0.15">
      <c r="A27" t="s">
        <v>180</v>
      </c>
      <c r="B27" t="s">
        <v>400</v>
      </c>
      <c r="C27" s="58" t="s">
        <v>173</v>
      </c>
      <c r="D27" t="s">
        <v>78</v>
      </c>
      <c r="E27" t="s">
        <v>165</v>
      </c>
      <c r="F27">
        <v>490</v>
      </c>
      <c r="G27" s="27">
        <v>1444</v>
      </c>
      <c r="H27" t="s">
        <v>174</v>
      </c>
    </row>
    <row r="28" spans="1:8" x14ac:dyDescent="0.15">
      <c r="A28" t="s">
        <v>330</v>
      </c>
      <c r="B28" t="s">
        <v>400</v>
      </c>
      <c r="C28" s="58" t="s">
        <v>333</v>
      </c>
      <c r="D28" t="s">
        <v>78</v>
      </c>
      <c r="E28" t="s">
        <v>331</v>
      </c>
      <c r="F28">
        <v>287</v>
      </c>
      <c r="G28" s="27" t="s">
        <v>332</v>
      </c>
      <c r="H28" t="s">
        <v>174</v>
      </c>
    </row>
    <row r="29" spans="1:8" x14ac:dyDescent="0.15">
      <c r="A29" t="s">
        <v>334</v>
      </c>
      <c r="B29" t="s">
        <v>400</v>
      </c>
      <c r="C29" s="58" t="s">
        <v>335</v>
      </c>
      <c r="D29" t="s">
        <v>78</v>
      </c>
      <c r="E29" t="s">
        <v>336</v>
      </c>
      <c r="F29">
        <v>287</v>
      </c>
      <c r="G29" s="27" t="s">
        <v>337</v>
      </c>
      <c r="H29" t="s">
        <v>338</v>
      </c>
    </row>
    <row r="30" spans="1:8" x14ac:dyDescent="0.15">
      <c r="A30" t="s">
        <v>471</v>
      </c>
      <c r="B30" t="s">
        <v>400</v>
      </c>
      <c r="C30" s="58" t="s">
        <v>478</v>
      </c>
      <c r="D30" s="58" t="s">
        <v>474</v>
      </c>
      <c r="E30" s="58" t="s">
        <v>479</v>
      </c>
      <c r="F30">
        <v>286</v>
      </c>
      <c r="G30" s="27" t="s">
        <v>480</v>
      </c>
      <c r="H30" t="s">
        <v>587</v>
      </c>
    </row>
    <row r="31" spans="1:8" x14ac:dyDescent="0.15">
      <c r="A31" t="s">
        <v>472</v>
      </c>
      <c r="B31" t="s">
        <v>400</v>
      </c>
      <c r="C31" s="58" t="s">
        <v>473</v>
      </c>
      <c r="D31" s="58" t="s">
        <v>474</v>
      </c>
      <c r="E31" s="58" t="s">
        <v>475</v>
      </c>
      <c r="F31">
        <v>479</v>
      </c>
      <c r="G31" s="28" t="s">
        <v>476</v>
      </c>
      <c r="H31" t="s">
        <v>477</v>
      </c>
    </row>
    <row r="32" spans="1:8" x14ac:dyDescent="0.15">
      <c r="A32" t="s">
        <v>572</v>
      </c>
      <c r="B32" t="s">
        <v>400</v>
      </c>
      <c r="C32" s="58" t="s">
        <v>573</v>
      </c>
      <c r="D32" s="58" t="s">
        <v>78</v>
      </c>
      <c r="E32" s="58" t="s">
        <v>574</v>
      </c>
      <c r="F32">
        <v>289</v>
      </c>
      <c r="G32" s="28" t="s">
        <v>575</v>
      </c>
      <c r="H32" t="s">
        <v>338</v>
      </c>
    </row>
    <row r="33" spans="1:9" x14ac:dyDescent="0.15">
      <c r="A33" t="s">
        <v>181</v>
      </c>
      <c r="B33" t="s">
        <v>401</v>
      </c>
      <c r="C33" s="57" t="s">
        <v>160</v>
      </c>
      <c r="D33" t="s">
        <v>78</v>
      </c>
      <c r="E33" t="s">
        <v>161</v>
      </c>
      <c r="F33">
        <v>286</v>
      </c>
      <c r="G33" s="27" t="s">
        <v>167</v>
      </c>
      <c r="H33" t="s">
        <v>91</v>
      </c>
    </row>
    <row r="34" spans="1:9" x14ac:dyDescent="0.15">
      <c r="A34" t="s">
        <v>182</v>
      </c>
      <c r="B34" t="s">
        <v>401</v>
      </c>
      <c r="C34" s="57" t="s">
        <v>157</v>
      </c>
      <c r="D34" t="s">
        <v>78</v>
      </c>
      <c r="E34" t="s">
        <v>158</v>
      </c>
      <c r="F34">
        <v>498</v>
      </c>
      <c r="G34" s="27" t="s">
        <v>153</v>
      </c>
      <c r="H34" t="s">
        <v>91</v>
      </c>
    </row>
    <row r="35" spans="1:9" x14ac:dyDescent="0.15">
      <c r="A35" t="s">
        <v>341</v>
      </c>
      <c r="B35" t="s">
        <v>401</v>
      </c>
      <c r="C35" s="57" t="s">
        <v>155</v>
      </c>
      <c r="D35" t="s">
        <v>78</v>
      </c>
      <c r="E35" t="s">
        <v>73</v>
      </c>
      <c r="F35">
        <v>479</v>
      </c>
      <c r="G35" s="27" t="s">
        <v>94</v>
      </c>
      <c r="H35" t="s">
        <v>96</v>
      </c>
    </row>
    <row r="36" spans="1:9" x14ac:dyDescent="0.15">
      <c r="A36" t="s">
        <v>340</v>
      </c>
      <c r="B36" t="s">
        <v>401</v>
      </c>
      <c r="C36" s="58" t="s">
        <v>193</v>
      </c>
      <c r="D36" t="s">
        <v>78</v>
      </c>
      <c r="E36" t="s">
        <v>339</v>
      </c>
      <c r="F36">
        <v>490</v>
      </c>
      <c r="G36" s="27" t="s">
        <v>342</v>
      </c>
      <c r="H36" t="s">
        <v>174</v>
      </c>
    </row>
    <row r="37" spans="1:9" x14ac:dyDescent="0.15">
      <c r="A37" t="s">
        <v>507</v>
      </c>
      <c r="B37" t="s">
        <v>401</v>
      </c>
      <c r="C37" s="58" t="s">
        <v>335</v>
      </c>
      <c r="D37" t="s">
        <v>78</v>
      </c>
      <c r="E37" t="s">
        <v>200</v>
      </c>
      <c r="F37">
        <v>287</v>
      </c>
      <c r="G37" s="27" t="s">
        <v>201</v>
      </c>
      <c r="H37" t="s">
        <v>338</v>
      </c>
    </row>
    <row r="38" spans="1:9" x14ac:dyDescent="0.15">
      <c r="A38" t="s">
        <v>584</v>
      </c>
      <c r="B38" t="s">
        <v>401</v>
      </c>
      <c r="C38" s="58" t="s">
        <v>478</v>
      </c>
      <c r="D38" t="s">
        <v>78</v>
      </c>
      <c r="E38" t="s">
        <v>585</v>
      </c>
      <c r="F38">
        <v>286</v>
      </c>
      <c r="G38" s="27" t="s">
        <v>586</v>
      </c>
      <c r="H38" t="s">
        <v>481</v>
      </c>
    </row>
    <row r="39" spans="1:9" x14ac:dyDescent="0.15">
      <c r="A39" t="s">
        <v>183</v>
      </c>
      <c r="B39" t="s">
        <v>401</v>
      </c>
      <c r="C39" s="57" t="s">
        <v>184</v>
      </c>
      <c r="D39" t="s">
        <v>78</v>
      </c>
      <c r="E39" t="s">
        <v>185</v>
      </c>
      <c r="F39">
        <v>230</v>
      </c>
      <c r="G39" s="27" t="s">
        <v>186</v>
      </c>
      <c r="H39" t="s">
        <v>618</v>
      </c>
      <c r="I39" t="s">
        <v>80</v>
      </c>
    </row>
    <row r="40" spans="1:9" x14ac:dyDescent="0.15">
      <c r="A40" t="s">
        <v>187</v>
      </c>
      <c r="B40" t="s">
        <v>401</v>
      </c>
      <c r="C40" s="57" t="s">
        <v>188</v>
      </c>
      <c r="D40" t="s">
        <v>78</v>
      </c>
      <c r="E40" t="s">
        <v>189</v>
      </c>
      <c r="F40">
        <v>286</v>
      </c>
      <c r="G40" s="27" t="s">
        <v>190</v>
      </c>
      <c r="H40" t="s">
        <v>618</v>
      </c>
      <c r="I40" t="s">
        <v>80</v>
      </c>
    </row>
    <row r="41" spans="1:9" x14ac:dyDescent="0.15">
      <c r="A41" t="s">
        <v>307</v>
      </c>
      <c r="B41" t="s">
        <v>401</v>
      </c>
      <c r="C41" s="58" t="s">
        <v>253</v>
      </c>
      <c r="D41" t="s">
        <v>78</v>
      </c>
      <c r="E41" t="s">
        <v>254</v>
      </c>
      <c r="F41">
        <v>230</v>
      </c>
      <c r="G41" s="27" t="s">
        <v>186</v>
      </c>
      <c r="H41" t="s">
        <v>618</v>
      </c>
      <c r="I41" t="s">
        <v>80</v>
      </c>
    </row>
    <row r="42" spans="1:9" x14ac:dyDescent="0.15">
      <c r="A42" s="59" t="s">
        <v>99</v>
      </c>
      <c r="B42" t="s">
        <v>425</v>
      </c>
      <c r="C42" s="57" t="s">
        <v>157</v>
      </c>
      <c r="D42" t="s">
        <v>78</v>
      </c>
      <c r="E42" t="s">
        <v>90</v>
      </c>
      <c r="F42">
        <v>498</v>
      </c>
      <c r="G42" s="27" t="s">
        <v>93</v>
      </c>
      <c r="H42" t="s">
        <v>91</v>
      </c>
    </row>
    <row r="43" spans="1:9" x14ac:dyDescent="0.15">
      <c r="A43" s="59" t="s">
        <v>191</v>
      </c>
      <c r="B43" t="s">
        <v>412</v>
      </c>
      <c r="C43" s="58" t="s">
        <v>155</v>
      </c>
      <c r="D43" t="s">
        <v>78</v>
      </c>
      <c r="E43" t="s">
        <v>73</v>
      </c>
      <c r="F43">
        <v>479</v>
      </c>
      <c r="G43" s="27" t="s">
        <v>94</v>
      </c>
      <c r="H43" t="s">
        <v>91</v>
      </c>
    </row>
    <row r="44" spans="1:9" x14ac:dyDescent="0.15">
      <c r="A44" s="59" t="s">
        <v>192</v>
      </c>
      <c r="B44" t="s">
        <v>425</v>
      </c>
      <c r="C44" s="58" t="s">
        <v>193</v>
      </c>
      <c r="D44" t="s">
        <v>78</v>
      </c>
      <c r="E44" t="s">
        <v>194</v>
      </c>
      <c r="F44">
        <v>490</v>
      </c>
      <c r="G44" s="27">
        <v>1444</v>
      </c>
      <c r="H44" t="s">
        <v>91</v>
      </c>
    </row>
    <row r="45" spans="1:9" x14ac:dyDescent="0.15">
      <c r="A45" s="59" t="s">
        <v>506</v>
      </c>
      <c r="B45" t="s">
        <v>412</v>
      </c>
      <c r="C45" s="58"/>
    </row>
    <row r="46" spans="1:9" x14ac:dyDescent="0.15">
      <c r="A46" s="59" t="s">
        <v>571</v>
      </c>
      <c r="B46" t="s">
        <v>412</v>
      </c>
      <c r="C46" s="58" t="s">
        <v>478</v>
      </c>
      <c r="D46" s="58" t="s">
        <v>78</v>
      </c>
      <c r="E46" s="58" t="s">
        <v>479</v>
      </c>
      <c r="F46">
        <v>286</v>
      </c>
      <c r="G46" s="27" t="s">
        <v>480</v>
      </c>
      <c r="H46" t="s">
        <v>481</v>
      </c>
    </row>
    <row r="47" spans="1:9" x14ac:dyDescent="0.15">
      <c r="A47" t="s">
        <v>195</v>
      </c>
      <c r="B47" t="s">
        <v>399</v>
      </c>
      <c r="C47" s="57" t="s">
        <v>155</v>
      </c>
      <c r="D47" t="s">
        <v>78</v>
      </c>
      <c r="E47" t="s">
        <v>148</v>
      </c>
      <c r="F47">
        <v>479</v>
      </c>
      <c r="G47" s="27" t="s">
        <v>149</v>
      </c>
      <c r="H47" t="s">
        <v>91</v>
      </c>
    </row>
    <row r="48" spans="1:9" x14ac:dyDescent="0.15">
      <c r="A48" t="s">
        <v>197</v>
      </c>
      <c r="B48" t="s">
        <v>198</v>
      </c>
      <c r="C48" s="57" t="s">
        <v>199</v>
      </c>
      <c r="D48" t="s">
        <v>78</v>
      </c>
      <c r="E48" t="s">
        <v>200</v>
      </c>
      <c r="F48">
        <v>287</v>
      </c>
      <c r="G48" s="27" t="s">
        <v>201</v>
      </c>
      <c r="H48" t="s">
        <v>202</v>
      </c>
    </row>
    <row r="49" spans="1:8" x14ac:dyDescent="0.15">
      <c r="A49" t="s">
        <v>203</v>
      </c>
      <c r="B49" t="s">
        <v>198</v>
      </c>
      <c r="C49" s="57" t="s">
        <v>157</v>
      </c>
      <c r="D49" t="s">
        <v>78</v>
      </c>
      <c r="E49" t="s">
        <v>158</v>
      </c>
      <c r="F49">
        <v>489</v>
      </c>
      <c r="G49" s="27" t="s">
        <v>153</v>
      </c>
      <c r="H49" t="s">
        <v>91</v>
      </c>
    </row>
    <row r="50" spans="1:8" x14ac:dyDescent="0.15">
      <c r="A50" t="s">
        <v>325</v>
      </c>
      <c r="B50" t="s">
        <v>196</v>
      </c>
      <c r="C50" s="57" t="s">
        <v>160</v>
      </c>
      <c r="D50" t="s">
        <v>78</v>
      </c>
      <c r="E50" t="s">
        <v>161</v>
      </c>
      <c r="F50">
        <v>286</v>
      </c>
      <c r="G50" s="27" t="s">
        <v>167</v>
      </c>
      <c r="H50" t="s">
        <v>95</v>
      </c>
    </row>
    <row r="51" spans="1:8" x14ac:dyDescent="0.15">
      <c r="A51" t="s">
        <v>326</v>
      </c>
      <c r="B51" t="s">
        <v>196</v>
      </c>
      <c r="C51" s="58" t="s">
        <v>173</v>
      </c>
      <c r="D51" t="s">
        <v>78</v>
      </c>
      <c r="E51" t="s">
        <v>165</v>
      </c>
      <c r="F51">
        <v>490</v>
      </c>
      <c r="G51" s="27">
        <v>1444</v>
      </c>
      <c r="H51" t="s">
        <v>174</v>
      </c>
    </row>
    <row r="52" spans="1:8" x14ac:dyDescent="0.15">
      <c r="A52" t="s">
        <v>21</v>
      </c>
      <c r="B52" t="s">
        <v>76</v>
      </c>
      <c r="C52" s="57" t="s">
        <v>155</v>
      </c>
      <c r="D52" t="s">
        <v>78</v>
      </c>
      <c r="E52" t="s">
        <v>148</v>
      </c>
      <c r="F52">
        <v>479</v>
      </c>
      <c r="G52" s="27" t="s">
        <v>149</v>
      </c>
    </row>
    <row r="53" spans="1:8" x14ac:dyDescent="0.15">
      <c r="A53" t="s">
        <v>204</v>
      </c>
      <c r="B53" t="s">
        <v>76</v>
      </c>
      <c r="C53" s="57" t="s">
        <v>157</v>
      </c>
      <c r="D53" t="s">
        <v>78</v>
      </c>
      <c r="E53" t="s">
        <v>158</v>
      </c>
      <c r="F53">
        <v>489</v>
      </c>
      <c r="G53" s="27" t="s">
        <v>153</v>
      </c>
    </row>
    <row r="54" spans="1:8" x14ac:dyDescent="0.15">
      <c r="A54" t="s">
        <v>22</v>
      </c>
      <c r="B54" t="s">
        <v>77</v>
      </c>
      <c r="C54" s="57" t="s">
        <v>205</v>
      </c>
      <c r="D54" t="s">
        <v>78</v>
      </c>
      <c r="E54" t="s">
        <v>147</v>
      </c>
      <c r="F54">
        <v>490</v>
      </c>
      <c r="G54" s="27">
        <v>1444</v>
      </c>
    </row>
    <row r="55" spans="1:8" x14ac:dyDescent="0.15">
      <c r="A55" t="s">
        <v>206</v>
      </c>
      <c r="B55" t="s">
        <v>83</v>
      </c>
      <c r="C55" s="57" t="s">
        <v>155</v>
      </c>
      <c r="D55" t="s">
        <v>78</v>
      </c>
      <c r="E55" t="s">
        <v>148</v>
      </c>
      <c r="F55">
        <v>479</v>
      </c>
      <c r="G55" s="27" t="s">
        <v>149</v>
      </c>
    </row>
    <row r="56" spans="1:8" x14ac:dyDescent="0.15">
      <c r="A56" t="s">
        <v>23</v>
      </c>
      <c r="B56" t="s">
        <v>402</v>
      </c>
      <c r="C56" s="57" t="s">
        <v>155</v>
      </c>
      <c r="D56" t="s">
        <v>78</v>
      </c>
      <c r="E56" t="s">
        <v>148</v>
      </c>
      <c r="F56">
        <v>479</v>
      </c>
      <c r="G56" s="27" t="s">
        <v>149</v>
      </c>
      <c r="H56" t="s">
        <v>91</v>
      </c>
    </row>
    <row r="57" spans="1:8" x14ac:dyDescent="0.15">
      <c r="A57" t="s">
        <v>24</v>
      </c>
      <c r="B57" t="s">
        <v>402</v>
      </c>
      <c r="C57" s="57" t="s">
        <v>146</v>
      </c>
      <c r="D57" t="s">
        <v>78</v>
      </c>
      <c r="E57" t="s">
        <v>147</v>
      </c>
      <c r="F57">
        <v>490</v>
      </c>
      <c r="G57" s="27">
        <v>1444</v>
      </c>
    </row>
    <row r="58" spans="1:8" x14ac:dyDescent="0.15">
      <c r="A58" t="s">
        <v>207</v>
      </c>
      <c r="B58" t="s">
        <v>402</v>
      </c>
      <c r="C58" s="57" t="s">
        <v>157</v>
      </c>
      <c r="D58" t="s">
        <v>78</v>
      </c>
      <c r="E58" t="s">
        <v>158</v>
      </c>
      <c r="F58">
        <v>498</v>
      </c>
      <c r="G58" s="27" t="s">
        <v>153</v>
      </c>
      <c r="H58" t="s">
        <v>91</v>
      </c>
    </row>
    <row r="59" spans="1:8" x14ac:dyDescent="0.15">
      <c r="A59" t="s">
        <v>208</v>
      </c>
      <c r="B59" t="s">
        <v>402</v>
      </c>
      <c r="C59" s="57" t="s">
        <v>160</v>
      </c>
      <c r="D59" t="s">
        <v>78</v>
      </c>
      <c r="E59" t="s">
        <v>161</v>
      </c>
      <c r="F59">
        <v>286</v>
      </c>
      <c r="G59" s="27" t="s">
        <v>167</v>
      </c>
      <c r="H59" t="s">
        <v>100</v>
      </c>
    </row>
    <row r="60" spans="1:8" x14ac:dyDescent="0.15">
      <c r="A60" t="s">
        <v>209</v>
      </c>
      <c r="B60" t="s">
        <v>402</v>
      </c>
      <c r="C60" s="58" t="s">
        <v>193</v>
      </c>
      <c r="D60" t="s">
        <v>78</v>
      </c>
      <c r="E60" t="s">
        <v>165</v>
      </c>
      <c r="F60">
        <v>490</v>
      </c>
      <c r="G60" s="27">
        <v>1444</v>
      </c>
      <c r="H60" t="s">
        <v>91</v>
      </c>
    </row>
    <row r="61" spans="1:8" x14ac:dyDescent="0.15">
      <c r="A61" t="s">
        <v>369</v>
      </c>
      <c r="B61" t="s">
        <v>402</v>
      </c>
      <c r="C61" t="s">
        <v>372</v>
      </c>
      <c r="D61" t="s">
        <v>78</v>
      </c>
      <c r="E61" t="s">
        <v>375</v>
      </c>
      <c r="F61">
        <v>286</v>
      </c>
      <c r="G61" s="27" t="s">
        <v>167</v>
      </c>
      <c r="H61" t="s">
        <v>91</v>
      </c>
    </row>
    <row r="62" spans="1:8" x14ac:dyDescent="0.15">
      <c r="A62" t="s">
        <v>370</v>
      </c>
      <c r="B62" t="s">
        <v>402</v>
      </c>
      <c r="C62" t="s">
        <v>373</v>
      </c>
      <c r="D62" t="s">
        <v>78</v>
      </c>
      <c r="E62" t="s">
        <v>376</v>
      </c>
      <c r="F62">
        <v>479</v>
      </c>
      <c r="G62" s="27" t="s">
        <v>94</v>
      </c>
      <c r="H62" t="s">
        <v>91</v>
      </c>
    </row>
    <row r="63" spans="1:8" x14ac:dyDescent="0.15">
      <c r="A63" t="s">
        <v>371</v>
      </c>
      <c r="B63" t="s">
        <v>402</v>
      </c>
      <c r="C63" t="s">
        <v>374</v>
      </c>
      <c r="D63" t="s">
        <v>78</v>
      </c>
      <c r="E63" t="s">
        <v>377</v>
      </c>
      <c r="F63">
        <v>287</v>
      </c>
      <c r="G63" s="27" t="s">
        <v>201</v>
      </c>
      <c r="H63" t="s">
        <v>91</v>
      </c>
    </row>
    <row r="64" spans="1:8" x14ac:dyDescent="0.15">
      <c r="A64" s="59" t="s">
        <v>27</v>
      </c>
      <c r="B64" t="s">
        <v>403</v>
      </c>
      <c r="C64" s="57" t="s">
        <v>155</v>
      </c>
      <c r="D64" t="s">
        <v>78</v>
      </c>
      <c r="E64" t="s">
        <v>148</v>
      </c>
      <c r="F64">
        <v>479</v>
      </c>
      <c r="G64" s="27" t="s">
        <v>149</v>
      </c>
    </row>
    <row r="65" spans="1:8" x14ac:dyDescent="0.15">
      <c r="A65" s="59" t="s">
        <v>210</v>
      </c>
      <c r="B65" t="s">
        <v>403</v>
      </c>
      <c r="C65" s="57" t="s">
        <v>146</v>
      </c>
      <c r="D65" t="s">
        <v>78</v>
      </c>
      <c r="E65" t="s">
        <v>147</v>
      </c>
      <c r="F65">
        <v>490</v>
      </c>
      <c r="G65" s="27">
        <v>1444</v>
      </c>
    </row>
    <row r="66" spans="1:8" x14ac:dyDescent="0.15">
      <c r="A66" s="59" t="s">
        <v>211</v>
      </c>
      <c r="B66" t="s">
        <v>403</v>
      </c>
      <c r="C66" s="57" t="s">
        <v>157</v>
      </c>
      <c r="D66" t="s">
        <v>78</v>
      </c>
      <c r="E66" t="s">
        <v>158</v>
      </c>
      <c r="F66">
        <v>498</v>
      </c>
      <c r="G66" s="27" t="s">
        <v>153</v>
      </c>
      <c r="H66" t="s">
        <v>95</v>
      </c>
    </row>
    <row r="67" spans="1:8" x14ac:dyDescent="0.15">
      <c r="A67" s="59" t="s">
        <v>212</v>
      </c>
      <c r="B67" t="s">
        <v>403</v>
      </c>
      <c r="C67" s="57" t="s">
        <v>160</v>
      </c>
      <c r="D67" t="s">
        <v>78</v>
      </c>
      <c r="E67" t="s">
        <v>161</v>
      </c>
      <c r="F67">
        <v>286</v>
      </c>
      <c r="G67" s="27" t="s">
        <v>167</v>
      </c>
      <c r="H67" t="s">
        <v>95</v>
      </c>
    </row>
    <row r="68" spans="1:8" x14ac:dyDescent="0.15">
      <c r="A68" s="59" t="s">
        <v>213</v>
      </c>
      <c r="B68" t="s">
        <v>403</v>
      </c>
      <c r="C68" s="57" t="s">
        <v>214</v>
      </c>
      <c r="D68" t="s">
        <v>78</v>
      </c>
      <c r="E68" t="s">
        <v>215</v>
      </c>
      <c r="F68">
        <v>435</v>
      </c>
      <c r="G68" s="27" t="s">
        <v>216</v>
      </c>
      <c r="H68" t="s">
        <v>91</v>
      </c>
    </row>
    <row r="69" spans="1:8" x14ac:dyDescent="0.15">
      <c r="A69" s="59" t="s">
        <v>217</v>
      </c>
      <c r="B69" t="s">
        <v>403</v>
      </c>
      <c r="C69" s="58" t="s">
        <v>193</v>
      </c>
      <c r="D69" t="s">
        <v>78</v>
      </c>
      <c r="E69" t="s">
        <v>165</v>
      </c>
      <c r="F69">
        <v>490</v>
      </c>
      <c r="G69" s="27">
        <v>1444</v>
      </c>
      <c r="H69" t="s">
        <v>91</v>
      </c>
    </row>
    <row r="70" spans="1:8" x14ac:dyDescent="0.15">
      <c r="A70" s="59" t="s">
        <v>311</v>
      </c>
      <c r="B70" t="s">
        <v>403</v>
      </c>
      <c r="C70" s="58" t="s">
        <v>223</v>
      </c>
      <c r="D70" t="s">
        <v>78</v>
      </c>
      <c r="E70" t="s">
        <v>200</v>
      </c>
      <c r="F70">
        <v>287</v>
      </c>
      <c r="G70" s="27" t="s">
        <v>201</v>
      </c>
      <c r="H70" t="s">
        <v>202</v>
      </c>
    </row>
    <row r="71" spans="1:8" x14ac:dyDescent="0.15">
      <c r="A71" s="59" t="s">
        <v>448</v>
      </c>
      <c r="B71" t="s">
        <v>403</v>
      </c>
      <c r="C71" s="58" t="s">
        <v>449</v>
      </c>
      <c r="D71" t="s">
        <v>78</v>
      </c>
      <c r="E71" t="s">
        <v>451</v>
      </c>
      <c r="F71">
        <v>289</v>
      </c>
      <c r="G71" s="27" t="s">
        <v>450</v>
      </c>
      <c r="H71" t="s">
        <v>202</v>
      </c>
    </row>
    <row r="72" spans="1:8" x14ac:dyDescent="0.15">
      <c r="A72" s="59" t="s">
        <v>578</v>
      </c>
      <c r="B72" t="s">
        <v>403</v>
      </c>
      <c r="C72" s="58" t="s">
        <v>579</v>
      </c>
      <c r="D72" t="s">
        <v>78</v>
      </c>
      <c r="E72" t="s">
        <v>451</v>
      </c>
      <c r="F72">
        <v>289</v>
      </c>
      <c r="G72" s="27" t="s">
        <v>450</v>
      </c>
      <c r="H72" t="s">
        <v>624</v>
      </c>
    </row>
    <row r="73" spans="1:8" x14ac:dyDescent="0.15">
      <c r="A73" t="s">
        <v>25</v>
      </c>
      <c r="B73" t="s">
        <v>632</v>
      </c>
      <c r="C73" s="57" t="s">
        <v>199</v>
      </c>
      <c r="D73" t="s">
        <v>78</v>
      </c>
      <c r="E73" t="s">
        <v>200</v>
      </c>
      <c r="F73">
        <v>287</v>
      </c>
      <c r="G73" s="27" t="s">
        <v>201</v>
      </c>
      <c r="H73" t="s">
        <v>113</v>
      </c>
    </row>
    <row r="74" spans="1:8" x14ac:dyDescent="0.15">
      <c r="A74" t="s">
        <v>26</v>
      </c>
      <c r="B74" t="s">
        <v>632</v>
      </c>
      <c r="C74" s="57" t="s">
        <v>218</v>
      </c>
      <c r="D74" t="s">
        <v>78</v>
      </c>
      <c r="E74" t="s">
        <v>219</v>
      </c>
      <c r="F74">
        <v>230</v>
      </c>
      <c r="G74" s="27" t="s">
        <v>186</v>
      </c>
    </row>
    <row r="75" spans="1:8" x14ac:dyDescent="0.15">
      <c r="A75" t="s">
        <v>220</v>
      </c>
      <c r="B75" t="s">
        <v>632</v>
      </c>
      <c r="C75" s="57" t="s">
        <v>169</v>
      </c>
      <c r="D75" t="s">
        <v>78</v>
      </c>
      <c r="E75" t="s">
        <v>152</v>
      </c>
      <c r="F75">
        <v>498</v>
      </c>
      <c r="G75" s="27" t="s">
        <v>153</v>
      </c>
      <c r="H75" t="s">
        <v>96</v>
      </c>
    </row>
    <row r="76" spans="1:8" x14ac:dyDescent="0.15">
      <c r="A76" t="s">
        <v>221</v>
      </c>
      <c r="B76" t="s">
        <v>632</v>
      </c>
      <c r="C76" s="57" t="s">
        <v>155</v>
      </c>
      <c r="D76" t="s">
        <v>78</v>
      </c>
      <c r="E76" t="s">
        <v>148</v>
      </c>
      <c r="F76">
        <v>479</v>
      </c>
      <c r="G76" s="27" t="s">
        <v>149</v>
      </c>
      <c r="H76" t="s">
        <v>113</v>
      </c>
    </row>
    <row r="77" spans="1:8" x14ac:dyDescent="0.15">
      <c r="A77" t="s">
        <v>222</v>
      </c>
      <c r="B77" t="s">
        <v>632</v>
      </c>
      <c r="C77" s="58" t="s">
        <v>223</v>
      </c>
      <c r="D77" t="s">
        <v>78</v>
      </c>
      <c r="E77" t="s">
        <v>200</v>
      </c>
      <c r="F77">
        <v>287</v>
      </c>
      <c r="G77" s="27" t="s">
        <v>201</v>
      </c>
      <c r="H77" t="s">
        <v>202</v>
      </c>
    </row>
    <row r="78" spans="1:8" x14ac:dyDescent="0.15">
      <c r="A78" t="s">
        <v>329</v>
      </c>
      <c r="B78" t="s">
        <v>632</v>
      </c>
      <c r="C78" s="57" t="s">
        <v>205</v>
      </c>
      <c r="D78" t="s">
        <v>78</v>
      </c>
      <c r="E78" t="s">
        <v>147</v>
      </c>
      <c r="F78">
        <v>490</v>
      </c>
      <c r="G78" s="27">
        <v>1444</v>
      </c>
      <c r="H78" t="s">
        <v>96</v>
      </c>
    </row>
    <row r="79" spans="1:8" x14ac:dyDescent="0.15">
      <c r="A79" t="s">
        <v>495</v>
      </c>
      <c r="B79" t="s">
        <v>632</v>
      </c>
      <c r="C79" s="58" t="s">
        <v>193</v>
      </c>
      <c r="D79" t="s">
        <v>78</v>
      </c>
      <c r="E79" t="s">
        <v>165</v>
      </c>
      <c r="F79">
        <v>490</v>
      </c>
      <c r="G79" s="27">
        <v>1444</v>
      </c>
      <c r="H79" t="s">
        <v>91</v>
      </c>
    </row>
    <row r="80" spans="1:8" x14ac:dyDescent="0.15">
      <c r="A80" t="s">
        <v>28</v>
      </c>
      <c r="B80" t="s">
        <v>404</v>
      </c>
      <c r="C80" s="57" t="s">
        <v>155</v>
      </c>
      <c r="D80" t="s">
        <v>78</v>
      </c>
      <c r="E80" t="s">
        <v>148</v>
      </c>
      <c r="F80">
        <v>479</v>
      </c>
      <c r="G80" s="27" t="s">
        <v>149</v>
      </c>
    </row>
    <row r="81" spans="1:8" x14ac:dyDescent="0.15">
      <c r="A81" t="s">
        <v>29</v>
      </c>
      <c r="B81" t="s">
        <v>404</v>
      </c>
      <c r="C81" s="57" t="s">
        <v>169</v>
      </c>
      <c r="D81" t="s">
        <v>78</v>
      </c>
      <c r="E81" t="s">
        <v>152</v>
      </c>
      <c r="F81">
        <v>498</v>
      </c>
      <c r="G81" s="27" t="s">
        <v>153</v>
      </c>
      <c r="H81" t="s">
        <v>96</v>
      </c>
    </row>
    <row r="82" spans="1:8" x14ac:dyDescent="0.15">
      <c r="A82" t="s">
        <v>224</v>
      </c>
      <c r="B82" t="s">
        <v>404</v>
      </c>
      <c r="C82" s="57" t="s">
        <v>160</v>
      </c>
      <c r="D82" t="s">
        <v>78</v>
      </c>
      <c r="E82" t="s">
        <v>161</v>
      </c>
      <c r="F82">
        <v>286</v>
      </c>
      <c r="G82" s="27" t="s">
        <v>167</v>
      </c>
      <c r="H82" t="s">
        <v>96</v>
      </c>
    </row>
    <row r="83" spans="1:8" x14ac:dyDescent="0.15">
      <c r="A83" t="s">
        <v>351</v>
      </c>
      <c r="B83" t="s">
        <v>404</v>
      </c>
      <c r="C83" s="58" t="s">
        <v>352</v>
      </c>
      <c r="D83" t="s">
        <v>78</v>
      </c>
      <c r="E83" s="58" t="s">
        <v>353</v>
      </c>
      <c r="F83">
        <v>287</v>
      </c>
      <c r="G83" s="27" t="s">
        <v>354</v>
      </c>
      <c r="H83" t="s">
        <v>96</v>
      </c>
    </row>
    <row r="84" spans="1:8" x14ac:dyDescent="0.15">
      <c r="A84" t="s">
        <v>225</v>
      </c>
      <c r="B84" t="s">
        <v>404</v>
      </c>
      <c r="C84" s="58" t="s">
        <v>146</v>
      </c>
      <c r="D84" t="s">
        <v>78</v>
      </c>
      <c r="E84" t="s">
        <v>147</v>
      </c>
      <c r="F84">
        <v>490</v>
      </c>
      <c r="G84" s="27" t="s">
        <v>226</v>
      </c>
      <c r="H84" t="s">
        <v>96</v>
      </c>
    </row>
    <row r="85" spans="1:8" x14ac:dyDescent="0.15">
      <c r="A85" t="s">
        <v>344</v>
      </c>
      <c r="B85" t="s">
        <v>404</v>
      </c>
      <c r="C85" s="58" t="s">
        <v>345</v>
      </c>
      <c r="D85" t="s">
        <v>78</v>
      </c>
      <c r="E85" s="58" t="s">
        <v>346</v>
      </c>
      <c r="F85">
        <v>287</v>
      </c>
      <c r="G85" s="27" t="s">
        <v>347</v>
      </c>
      <c r="H85" t="s">
        <v>96</v>
      </c>
    </row>
    <row r="86" spans="1:8" x14ac:dyDescent="0.15">
      <c r="A86" t="s">
        <v>490</v>
      </c>
      <c r="B86" t="s">
        <v>404</v>
      </c>
      <c r="C86" s="58" t="s">
        <v>534</v>
      </c>
      <c r="D86" s="58" t="s">
        <v>535</v>
      </c>
      <c r="E86" s="58" t="s">
        <v>588</v>
      </c>
      <c r="F86">
        <v>286</v>
      </c>
      <c r="G86" s="27" t="s">
        <v>536</v>
      </c>
      <c r="H86" t="s">
        <v>613</v>
      </c>
    </row>
    <row r="87" spans="1:8" x14ac:dyDescent="0.15">
      <c r="A87" t="s">
        <v>30</v>
      </c>
      <c r="B87" t="s">
        <v>405</v>
      </c>
      <c r="C87" s="58" t="s">
        <v>146</v>
      </c>
      <c r="D87" t="s">
        <v>78</v>
      </c>
      <c r="E87" t="s">
        <v>147</v>
      </c>
      <c r="F87">
        <v>490</v>
      </c>
      <c r="G87" s="27" t="s">
        <v>226</v>
      </c>
      <c r="H87" t="s">
        <v>96</v>
      </c>
    </row>
    <row r="88" spans="1:8" x14ac:dyDescent="0.15">
      <c r="A88" t="s">
        <v>31</v>
      </c>
      <c r="B88" t="s">
        <v>405</v>
      </c>
      <c r="C88" s="57" t="s">
        <v>155</v>
      </c>
      <c r="D88" t="s">
        <v>78</v>
      </c>
      <c r="E88" t="s">
        <v>148</v>
      </c>
      <c r="F88">
        <v>479</v>
      </c>
      <c r="G88" s="27" t="s">
        <v>149</v>
      </c>
      <c r="H88" t="s">
        <v>96</v>
      </c>
    </row>
    <row r="89" spans="1:8" x14ac:dyDescent="0.15">
      <c r="A89" t="s">
        <v>356</v>
      </c>
      <c r="B89" t="s">
        <v>405</v>
      </c>
      <c r="C89" s="58" t="s">
        <v>357</v>
      </c>
      <c r="D89" t="s">
        <v>78</v>
      </c>
      <c r="E89" s="66" t="s">
        <v>359</v>
      </c>
      <c r="F89" s="66">
        <v>287</v>
      </c>
      <c r="G89" s="67" t="s">
        <v>360</v>
      </c>
      <c r="H89" t="s">
        <v>96</v>
      </c>
    </row>
    <row r="90" spans="1:8" x14ac:dyDescent="0.15">
      <c r="A90" t="s">
        <v>355</v>
      </c>
      <c r="B90" t="s">
        <v>405</v>
      </c>
      <c r="C90" s="58" t="s">
        <v>358</v>
      </c>
      <c r="D90" t="s">
        <v>78</v>
      </c>
      <c r="E90" s="66" t="s">
        <v>359</v>
      </c>
      <c r="F90" s="66">
        <v>287</v>
      </c>
      <c r="G90" s="67" t="s">
        <v>360</v>
      </c>
      <c r="H90" t="s">
        <v>96</v>
      </c>
    </row>
    <row r="91" spans="1:8" x14ac:dyDescent="0.15">
      <c r="A91" t="s">
        <v>308</v>
      </c>
      <c r="B91" t="s">
        <v>309</v>
      </c>
      <c r="D91" t="s">
        <v>78</v>
      </c>
      <c r="E91" t="s">
        <v>73</v>
      </c>
      <c r="F91">
        <v>479</v>
      </c>
      <c r="G91" s="27" t="s">
        <v>94</v>
      </c>
      <c r="H91" t="s">
        <v>96</v>
      </c>
    </row>
    <row r="92" spans="1:8" x14ac:dyDescent="0.15">
      <c r="A92" t="s">
        <v>310</v>
      </c>
      <c r="B92" t="s">
        <v>406</v>
      </c>
      <c r="D92" t="s">
        <v>78</v>
      </c>
      <c r="E92" t="s">
        <v>147</v>
      </c>
      <c r="F92">
        <v>490</v>
      </c>
      <c r="G92" s="27" t="s">
        <v>226</v>
      </c>
      <c r="H92" t="s">
        <v>96</v>
      </c>
    </row>
    <row r="93" spans="1:8" x14ac:dyDescent="0.15">
      <c r="A93" t="s">
        <v>423</v>
      </c>
      <c r="B93" t="s">
        <v>406</v>
      </c>
      <c r="C93" s="58" t="s">
        <v>223</v>
      </c>
      <c r="D93" t="s">
        <v>78</v>
      </c>
      <c r="E93" t="s">
        <v>200</v>
      </c>
      <c r="F93">
        <v>287</v>
      </c>
      <c r="G93" s="27" t="s">
        <v>201</v>
      </c>
      <c r="H93" t="s">
        <v>202</v>
      </c>
    </row>
    <row r="94" spans="1:8" x14ac:dyDescent="0.15">
      <c r="A94" t="s">
        <v>32</v>
      </c>
      <c r="B94" t="s">
        <v>407</v>
      </c>
      <c r="C94" s="57" t="s">
        <v>155</v>
      </c>
      <c r="D94" t="s">
        <v>78</v>
      </c>
      <c r="E94" t="s">
        <v>227</v>
      </c>
      <c r="F94">
        <v>479</v>
      </c>
      <c r="G94" s="27" t="s">
        <v>149</v>
      </c>
      <c r="H94" t="s">
        <v>96</v>
      </c>
    </row>
    <row r="95" spans="1:8" x14ac:dyDescent="0.15">
      <c r="A95" t="s">
        <v>33</v>
      </c>
      <c r="B95" t="s">
        <v>407</v>
      </c>
      <c r="C95" s="58" t="s">
        <v>205</v>
      </c>
      <c r="D95" t="s">
        <v>78</v>
      </c>
      <c r="E95" t="s">
        <v>147</v>
      </c>
      <c r="F95">
        <v>490</v>
      </c>
      <c r="G95" s="27">
        <v>1444</v>
      </c>
      <c r="H95" t="s">
        <v>96</v>
      </c>
    </row>
    <row r="96" spans="1:8" x14ac:dyDescent="0.15">
      <c r="A96" t="s">
        <v>228</v>
      </c>
      <c r="B96" t="s">
        <v>407</v>
      </c>
      <c r="C96" s="57" t="s">
        <v>157</v>
      </c>
      <c r="D96" t="s">
        <v>78</v>
      </c>
      <c r="E96" t="s">
        <v>158</v>
      </c>
      <c r="F96">
        <v>498</v>
      </c>
      <c r="G96" s="29" t="s">
        <v>153</v>
      </c>
      <c r="H96" t="s">
        <v>96</v>
      </c>
    </row>
    <row r="97" spans="1:9" x14ac:dyDescent="0.15">
      <c r="A97" t="s">
        <v>229</v>
      </c>
      <c r="B97" t="s">
        <v>407</v>
      </c>
      <c r="C97" s="58" t="s">
        <v>193</v>
      </c>
      <c r="D97" t="s">
        <v>78</v>
      </c>
      <c r="E97" t="s">
        <v>165</v>
      </c>
      <c r="F97">
        <v>490</v>
      </c>
      <c r="G97" s="27">
        <v>1444</v>
      </c>
      <c r="H97" t="s">
        <v>96</v>
      </c>
    </row>
    <row r="98" spans="1:9" x14ac:dyDescent="0.15">
      <c r="A98" t="s">
        <v>364</v>
      </c>
      <c r="B98" t="s">
        <v>407</v>
      </c>
      <c r="C98" s="58" t="s">
        <v>333</v>
      </c>
      <c r="D98" t="s">
        <v>78</v>
      </c>
      <c r="E98" t="s">
        <v>200</v>
      </c>
      <c r="F98">
        <v>287</v>
      </c>
      <c r="G98" s="27" t="s">
        <v>201</v>
      </c>
      <c r="H98" t="s">
        <v>174</v>
      </c>
    </row>
    <row r="99" spans="1:9" x14ac:dyDescent="0.15">
      <c r="A99" t="s">
        <v>230</v>
      </c>
      <c r="B99" t="s">
        <v>408</v>
      </c>
      <c r="C99" s="57" t="s">
        <v>72</v>
      </c>
      <c r="D99" t="s">
        <v>78</v>
      </c>
      <c r="E99" t="s">
        <v>231</v>
      </c>
      <c r="F99">
        <v>424</v>
      </c>
      <c r="G99" s="27" t="s">
        <v>232</v>
      </c>
    </row>
    <row r="100" spans="1:9" x14ac:dyDescent="0.15">
      <c r="A100" t="s">
        <v>13</v>
      </c>
      <c r="B100" t="s">
        <v>234</v>
      </c>
      <c r="C100" s="57" t="s">
        <v>235</v>
      </c>
      <c r="D100" t="s">
        <v>78</v>
      </c>
      <c r="E100" t="s">
        <v>368</v>
      </c>
      <c r="F100">
        <v>424</v>
      </c>
      <c r="G100" s="27" t="s">
        <v>236</v>
      </c>
      <c r="H100" t="s">
        <v>101</v>
      </c>
    </row>
    <row r="101" spans="1:9" x14ac:dyDescent="0.15">
      <c r="A101" t="s">
        <v>599</v>
      </c>
      <c r="B101" t="s">
        <v>234</v>
      </c>
      <c r="C101" s="58" t="s">
        <v>597</v>
      </c>
      <c r="D101" t="s">
        <v>78</v>
      </c>
      <c r="E101" t="s">
        <v>596</v>
      </c>
      <c r="F101">
        <v>422</v>
      </c>
      <c r="G101" s="28" t="s">
        <v>598</v>
      </c>
      <c r="H101" t="s">
        <v>101</v>
      </c>
    </row>
    <row r="102" spans="1:9" x14ac:dyDescent="0.15">
      <c r="A102" s="60" t="s">
        <v>15</v>
      </c>
      <c r="B102" t="s">
        <v>75</v>
      </c>
      <c r="C102" s="57" t="s">
        <v>70</v>
      </c>
      <c r="D102" t="s">
        <v>78</v>
      </c>
      <c r="E102" t="s">
        <v>237</v>
      </c>
      <c r="F102">
        <v>230</v>
      </c>
      <c r="G102" s="27">
        <v>53</v>
      </c>
    </row>
    <row r="103" spans="1:9" x14ac:dyDescent="0.15">
      <c r="A103" s="60" t="s">
        <v>434</v>
      </c>
      <c r="B103" t="s">
        <v>435</v>
      </c>
      <c r="C103" s="58" t="s">
        <v>436</v>
      </c>
      <c r="D103" t="s">
        <v>78</v>
      </c>
      <c r="E103" t="s">
        <v>437</v>
      </c>
      <c r="F103">
        <v>230</v>
      </c>
      <c r="G103" s="27" t="s">
        <v>438</v>
      </c>
    </row>
    <row r="104" spans="1:9" x14ac:dyDescent="0.15">
      <c r="A104" s="60" t="s">
        <v>12</v>
      </c>
      <c r="B104" t="s">
        <v>74</v>
      </c>
      <c r="C104" s="57" t="s">
        <v>69</v>
      </c>
      <c r="D104" t="s">
        <v>78</v>
      </c>
      <c r="E104" t="s">
        <v>233</v>
      </c>
      <c r="F104">
        <v>424</v>
      </c>
      <c r="G104" s="27" t="s">
        <v>232</v>
      </c>
    </row>
    <row r="105" spans="1:9" x14ac:dyDescent="0.15">
      <c r="A105" s="60" t="s">
        <v>14</v>
      </c>
      <c r="B105" t="s">
        <v>82</v>
      </c>
      <c r="C105" s="57" t="s">
        <v>70</v>
      </c>
      <c r="D105" t="s">
        <v>78</v>
      </c>
      <c r="E105" t="s">
        <v>237</v>
      </c>
      <c r="F105">
        <v>230</v>
      </c>
      <c r="G105" s="27" t="s">
        <v>186</v>
      </c>
    </row>
    <row r="106" spans="1:9" x14ac:dyDescent="0.15">
      <c r="A106" s="60" t="s">
        <v>238</v>
      </c>
      <c r="B106" t="s">
        <v>82</v>
      </c>
      <c r="C106" s="58" t="s">
        <v>239</v>
      </c>
      <c r="D106" t="s">
        <v>78</v>
      </c>
      <c r="E106" t="s">
        <v>240</v>
      </c>
      <c r="F106">
        <v>230</v>
      </c>
      <c r="G106" s="27" t="s">
        <v>186</v>
      </c>
    </row>
    <row r="107" spans="1:9" x14ac:dyDescent="0.15">
      <c r="A107" t="s">
        <v>40</v>
      </c>
      <c r="B107" t="s">
        <v>409</v>
      </c>
      <c r="C107" s="57" t="s">
        <v>241</v>
      </c>
      <c r="D107" t="s">
        <v>78</v>
      </c>
      <c r="E107" t="s">
        <v>242</v>
      </c>
      <c r="F107">
        <v>289</v>
      </c>
      <c r="G107" s="27">
        <v>1603</v>
      </c>
      <c r="H107" t="s">
        <v>618</v>
      </c>
      <c r="I107" t="s">
        <v>80</v>
      </c>
    </row>
    <row r="108" spans="1:9" x14ac:dyDescent="0.15">
      <c r="A108" t="s">
        <v>41</v>
      </c>
      <c r="B108" t="s">
        <v>409</v>
      </c>
      <c r="C108" s="57" t="s">
        <v>184</v>
      </c>
      <c r="D108" t="s">
        <v>78</v>
      </c>
      <c r="E108" t="s">
        <v>185</v>
      </c>
      <c r="F108">
        <v>230</v>
      </c>
      <c r="G108" s="27" t="s">
        <v>186</v>
      </c>
      <c r="H108" t="s">
        <v>618</v>
      </c>
      <c r="I108" t="s">
        <v>80</v>
      </c>
    </row>
    <row r="109" spans="1:9" ht="14.25" customHeight="1" x14ac:dyDescent="0.15">
      <c r="A109" t="s">
        <v>102</v>
      </c>
      <c r="B109" t="s">
        <v>409</v>
      </c>
      <c r="C109" s="57" t="s">
        <v>243</v>
      </c>
      <c r="D109" t="s">
        <v>78</v>
      </c>
      <c r="E109" t="s">
        <v>244</v>
      </c>
      <c r="F109">
        <v>289</v>
      </c>
      <c r="G109" s="27" t="s">
        <v>245</v>
      </c>
    </row>
    <row r="110" spans="1:9" x14ac:dyDescent="0.15">
      <c r="A110" t="s">
        <v>103</v>
      </c>
      <c r="B110" t="s">
        <v>409</v>
      </c>
      <c r="C110" s="57" t="s">
        <v>246</v>
      </c>
      <c r="D110" t="s">
        <v>78</v>
      </c>
      <c r="E110" t="s">
        <v>247</v>
      </c>
      <c r="F110">
        <v>455</v>
      </c>
      <c r="G110" s="27" t="s">
        <v>248</v>
      </c>
    </row>
    <row r="111" spans="1:9" x14ac:dyDescent="0.15">
      <c r="A111" t="s">
        <v>104</v>
      </c>
      <c r="B111" t="s">
        <v>409</v>
      </c>
      <c r="C111" s="57" t="s">
        <v>249</v>
      </c>
      <c r="D111" t="s">
        <v>78</v>
      </c>
      <c r="E111" t="s">
        <v>250</v>
      </c>
      <c r="F111">
        <v>559</v>
      </c>
      <c r="G111" s="27" t="s">
        <v>251</v>
      </c>
      <c r="H111" t="s">
        <v>618</v>
      </c>
      <c r="I111" t="s">
        <v>80</v>
      </c>
    </row>
    <row r="112" spans="1:9" x14ac:dyDescent="0.15">
      <c r="A112" t="s">
        <v>252</v>
      </c>
      <c r="B112" t="s">
        <v>409</v>
      </c>
      <c r="C112" s="58" t="s">
        <v>253</v>
      </c>
      <c r="D112" t="s">
        <v>78</v>
      </c>
      <c r="E112" t="s">
        <v>254</v>
      </c>
      <c r="F112">
        <v>230</v>
      </c>
      <c r="G112" s="27" t="s">
        <v>186</v>
      </c>
      <c r="H112" t="s">
        <v>618</v>
      </c>
      <c r="I112" t="s">
        <v>80</v>
      </c>
    </row>
    <row r="113" spans="1:9" x14ac:dyDescent="0.15">
      <c r="A113" t="s">
        <v>322</v>
      </c>
      <c r="B113" t="s">
        <v>409</v>
      </c>
      <c r="C113" s="57" t="s">
        <v>188</v>
      </c>
      <c r="D113" t="s">
        <v>78</v>
      </c>
      <c r="E113" t="s">
        <v>189</v>
      </c>
      <c r="F113">
        <v>286</v>
      </c>
      <c r="G113" s="27" t="s">
        <v>323</v>
      </c>
      <c r="H113" t="s">
        <v>324</v>
      </c>
    </row>
    <row r="114" spans="1:9" x14ac:dyDescent="0.15">
      <c r="A114" t="s">
        <v>365</v>
      </c>
      <c r="B114" t="s">
        <v>409</v>
      </c>
      <c r="C114" s="57" t="s">
        <v>577</v>
      </c>
      <c r="D114" t="s">
        <v>78</v>
      </c>
      <c r="E114" t="s">
        <v>366</v>
      </c>
      <c r="F114">
        <v>498</v>
      </c>
      <c r="G114" s="28" t="s">
        <v>367</v>
      </c>
      <c r="H114" t="s">
        <v>618</v>
      </c>
      <c r="I114" t="s">
        <v>80</v>
      </c>
    </row>
    <row r="115" spans="1:9" x14ac:dyDescent="0.15">
      <c r="A115" t="s">
        <v>576</v>
      </c>
      <c r="B115" t="s">
        <v>409</v>
      </c>
      <c r="C115" s="58" t="s">
        <v>261</v>
      </c>
      <c r="D115" t="s">
        <v>78</v>
      </c>
      <c r="E115" t="s">
        <v>244</v>
      </c>
      <c r="F115">
        <v>289</v>
      </c>
      <c r="G115" s="27" t="s">
        <v>245</v>
      </c>
      <c r="H115" t="s">
        <v>623</v>
      </c>
    </row>
    <row r="116" spans="1:9" x14ac:dyDescent="0.15">
      <c r="A116" t="s">
        <v>626</v>
      </c>
      <c r="B116" t="s">
        <v>409</v>
      </c>
      <c r="C116" s="58" t="s">
        <v>627</v>
      </c>
      <c r="D116" t="s">
        <v>78</v>
      </c>
      <c r="E116" t="s">
        <v>628</v>
      </c>
      <c r="F116">
        <v>289</v>
      </c>
      <c r="G116" s="27" t="s">
        <v>629</v>
      </c>
      <c r="H116" t="s">
        <v>630</v>
      </c>
    </row>
    <row r="117" spans="1:9" x14ac:dyDescent="0.15">
      <c r="A117" t="s">
        <v>42</v>
      </c>
      <c r="B117" t="s">
        <v>410</v>
      </c>
      <c r="C117" s="57" t="s">
        <v>255</v>
      </c>
      <c r="D117" t="s">
        <v>78</v>
      </c>
      <c r="E117" t="s">
        <v>185</v>
      </c>
      <c r="F117">
        <v>230</v>
      </c>
      <c r="G117" s="27" t="s">
        <v>186</v>
      </c>
      <c r="H117" t="s">
        <v>618</v>
      </c>
      <c r="I117" t="s">
        <v>80</v>
      </c>
    </row>
    <row r="118" spans="1:9" x14ac:dyDescent="0.15">
      <c r="A118" t="s">
        <v>43</v>
      </c>
      <c r="B118" t="s">
        <v>410</v>
      </c>
      <c r="C118" s="57" t="s">
        <v>184</v>
      </c>
      <c r="D118" t="s">
        <v>78</v>
      </c>
      <c r="E118" t="s">
        <v>185</v>
      </c>
      <c r="F118">
        <v>230</v>
      </c>
      <c r="G118" s="27" t="s">
        <v>186</v>
      </c>
      <c r="H118" t="s">
        <v>618</v>
      </c>
      <c r="I118" t="s">
        <v>80</v>
      </c>
    </row>
    <row r="119" spans="1:9" x14ac:dyDescent="0.15">
      <c r="A119" t="s">
        <v>44</v>
      </c>
      <c r="B119" t="s">
        <v>410</v>
      </c>
      <c r="C119" s="57" t="s">
        <v>188</v>
      </c>
      <c r="D119" t="s">
        <v>78</v>
      </c>
      <c r="E119" t="s">
        <v>256</v>
      </c>
      <c r="F119">
        <v>287</v>
      </c>
      <c r="G119" s="27" t="s">
        <v>257</v>
      </c>
      <c r="H119" t="s">
        <v>618</v>
      </c>
      <c r="I119" t="s">
        <v>80</v>
      </c>
    </row>
    <row r="120" spans="1:9" x14ac:dyDescent="0.15">
      <c r="A120" t="s">
        <v>258</v>
      </c>
      <c r="B120" t="s">
        <v>410</v>
      </c>
      <c r="C120" s="58" t="s">
        <v>253</v>
      </c>
      <c r="D120" t="s">
        <v>78</v>
      </c>
      <c r="E120" t="s">
        <v>254</v>
      </c>
      <c r="F120">
        <v>230</v>
      </c>
      <c r="G120" s="27" t="s">
        <v>186</v>
      </c>
      <c r="H120" t="s">
        <v>619</v>
      </c>
    </row>
    <row r="121" spans="1:9" x14ac:dyDescent="0.15">
      <c r="A121" t="s">
        <v>260</v>
      </c>
      <c r="B121" t="s">
        <v>410</v>
      </c>
      <c r="C121" s="58" t="s">
        <v>261</v>
      </c>
      <c r="D121" t="s">
        <v>78</v>
      </c>
      <c r="E121" t="s">
        <v>244</v>
      </c>
      <c r="F121">
        <v>289</v>
      </c>
      <c r="G121" s="27" t="s">
        <v>245</v>
      </c>
      <c r="H121" t="s">
        <v>622</v>
      </c>
    </row>
    <row r="122" spans="1:9" x14ac:dyDescent="0.15">
      <c r="A122" t="s">
        <v>262</v>
      </c>
      <c r="B122" t="s">
        <v>263</v>
      </c>
      <c r="C122" s="57" t="s">
        <v>188</v>
      </c>
      <c r="D122" t="s">
        <v>78</v>
      </c>
      <c r="E122" t="s">
        <v>189</v>
      </c>
      <c r="F122">
        <v>287</v>
      </c>
      <c r="G122" s="27" t="s">
        <v>257</v>
      </c>
      <c r="H122" t="s">
        <v>618</v>
      </c>
      <c r="I122" t="s">
        <v>80</v>
      </c>
    </row>
    <row r="123" spans="1:9" x14ac:dyDescent="0.15">
      <c r="A123" t="s">
        <v>45</v>
      </c>
      <c r="B123" t="s">
        <v>411</v>
      </c>
      <c r="C123" s="57" t="s">
        <v>184</v>
      </c>
      <c r="D123" t="s">
        <v>78</v>
      </c>
      <c r="E123" t="s">
        <v>185</v>
      </c>
      <c r="F123">
        <v>230</v>
      </c>
      <c r="G123" s="27" t="s">
        <v>186</v>
      </c>
      <c r="H123" t="s">
        <v>618</v>
      </c>
      <c r="I123" t="s">
        <v>80</v>
      </c>
    </row>
    <row r="124" spans="1:9" x14ac:dyDescent="0.15">
      <c r="A124" s="60" t="s">
        <v>46</v>
      </c>
      <c r="B124" t="s">
        <v>412</v>
      </c>
      <c r="C124" s="57" t="s">
        <v>264</v>
      </c>
      <c r="D124" t="s">
        <v>78</v>
      </c>
      <c r="E124" t="s">
        <v>242</v>
      </c>
      <c r="F124">
        <v>289</v>
      </c>
      <c r="G124" s="27">
        <v>1603</v>
      </c>
      <c r="H124" t="s">
        <v>618</v>
      </c>
      <c r="I124" t="s">
        <v>80</v>
      </c>
    </row>
    <row r="125" spans="1:9" x14ac:dyDescent="0.15">
      <c r="A125" s="60" t="s">
        <v>47</v>
      </c>
      <c r="B125" t="s">
        <v>412</v>
      </c>
      <c r="C125" s="57" t="s">
        <v>265</v>
      </c>
      <c r="D125" t="s">
        <v>78</v>
      </c>
      <c r="E125" t="s">
        <v>185</v>
      </c>
      <c r="F125">
        <v>230</v>
      </c>
      <c r="G125" s="27" t="s">
        <v>186</v>
      </c>
      <c r="H125" t="s">
        <v>618</v>
      </c>
      <c r="I125" t="s">
        <v>80</v>
      </c>
    </row>
    <row r="126" spans="1:9" x14ac:dyDescent="0.15">
      <c r="A126" s="60" t="s">
        <v>266</v>
      </c>
      <c r="B126" t="s">
        <v>412</v>
      </c>
      <c r="C126" s="57" t="s">
        <v>267</v>
      </c>
      <c r="D126" t="s">
        <v>78</v>
      </c>
      <c r="E126" t="s">
        <v>200</v>
      </c>
      <c r="F126">
        <v>287</v>
      </c>
      <c r="G126" s="27" t="s">
        <v>201</v>
      </c>
      <c r="H126" t="s">
        <v>618</v>
      </c>
      <c r="I126" t="s">
        <v>80</v>
      </c>
    </row>
    <row r="127" spans="1:9" x14ac:dyDescent="0.15">
      <c r="A127" s="60" t="s">
        <v>105</v>
      </c>
      <c r="B127" t="s">
        <v>412</v>
      </c>
      <c r="C127" s="57" t="s">
        <v>188</v>
      </c>
      <c r="D127" t="s">
        <v>78</v>
      </c>
      <c r="E127" t="s">
        <v>189</v>
      </c>
      <c r="F127">
        <v>287</v>
      </c>
      <c r="G127" s="27" t="s">
        <v>257</v>
      </c>
      <c r="H127" t="s">
        <v>618</v>
      </c>
      <c r="I127" t="s">
        <v>80</v>
      </c>
    </row>
    <row r="128" spans="1:9" x14ac:dyDescent="0.15">
      <c r="A128" s="60" t="s">
        <v>268</v>
      </c>
      <c r="B128" t="s">
        <v>412</v>
      </c>
      <c r="C128" s="58" t="s">
        <v>253</v>
      </c>
      <c r="D128" t="s">
        <v>78</v>
      </c>
      <c r="E128" t="s">
        <v>254</v>
      </c>
      <c r="F128">
        <v>230</v>
      </c>
      <c r="G128" s="27" t="s">
        <v>186</v>
      </c>
      <c r="H128" t="s">
        <v>618</v>
      </c>
      <c r="I128" t="s">
        <v>80</v>
      </c>
    </row>
    <row r="129" spans="1:9" x14ac:dyDescent="0.15">
      <c r="A129" t="s">
        <v>48</v>
      </c>
      <c r="B129" t="s">
        <v>413</v>
      </c>
      <c r="C129" s="57" t="s">
        <v>184</v>
      </c>
      <c r="D129" t="s">
        <v>78</v>
      </c>
      <c r="E129" t="s">
        <v>185</v>
      </c>
      <c r="F129">
        <v>230</v>
      </c>
      <c r="G129" s="27" t="s">
        <v>186</v>
      </c>
      <c r="H129" t="s">
        <v>618</v>
      </c>
      <c r="I129" t="s">
        <v>80</v>
      </c>
    </row>
    <row r="130" spans="1:9" x14ac:dyDescent="0.15">
      <c r="A130" t="s">
        <v>269</v>
      </c>
      <c r="B130" t="s">
        <v>413</v>
      </c>
      <c r="C130" s="57" t="s">
        <v>246</v>
      </c>
      <c r="D130" t="s">
        <v>78</v>
      </c>
      <c r="E130" t="s">
        <v>247</v>
      </c>
      <c r="F130">
        <v>455</v>
      </c>
      <c r="G130" s="27" t="s">
        <v>248</v>
      </c>
      <c r="H130" t="s">
        <v>618</v>
      </c>
      <c r="I130" t="s">
        <v>80</v>
      </c>
    </row>
    <row r="131" spans="1:9" x14ac:dyDescent="0.15">
      <c r="A131" t="s">
        <v>106</v>
      </c>
      <c r="B131" t="s">
        <v>413</v>
      </c>
      <c r="C131" s="57" t="s">
        <v>188</v>
      </c>
      <c r="D131" t="s">
        <v>78</v>
      </c>
      <c r="E131" t="s">
        <v>189</v>
      </c>
      <c r="F131">
        <v>286</v>
      </c>
      <c r="G131" s="27" t="s">
        <v>190</v>
      </c>
      <c r="H131" t="s">
        <v>621</v>
      </c>
    </row>
    <row r="132" spans="1:9" x14ac:dyDescent="0.15">
      <c r="A132" t="s">
        <v>270</v>
      </c>
      <c r="B132" t="s">
        <v>413</v>
      </c>
      <c r="C132" s="58" t="s">
        <v>253</v>
      </c>
      <c r="D132" t="s">
        <v>78</v>
      </c>
      <c r="E132" t="s">
        <v>254</v>
      </c>
      <c r="F132">
        <v>230</v>
      </c>
      <c r="G132" s="27" t="s">
        <v>186</v>
      </c>
      <c r="H132" t="s">
        <v>619</v>
      </c>
    </row>
    <row r="133" spans="1:9" x14ac:dyDescent="0.15">
      <c r="A133" t="s">
        <v>312</v>
      </c>
      <c r="B133" t="s">
        <v>413</v>
      </c>
      <c r="C133" s="58" t="s">
        <v>249</v>
      </c>
      <c r="D133" t="s">
        <v>78</v>
      </c>
      <c r="E133" t="s">
        <v>313</v>
      </c>
      <c r="F133">
        <v>559</v>
      </c>
      <c r="G133" s="27" t="s">
        <v>314</v>
      </c>
      <c r="H133" t="s">
        <v>618</v>
      </c>
      <c r="I133" t="s">
        <v>315</v>
      </c>
    </row>
    <row r="134" spans="1:9" x14ac:dyDescent="0.15">
      <c r="A134" t="s">
        <v>49</v>
      </c>
      <c r="B134" t="s">
        <v>271</v>
      </c>
      <c r="C134" s="57" t="s">
        <v>61</v>
      </c>
      <c r="D134" t="s">
        <v>78</v>
      </c>
      <c r="E134" t="s">
        <v>250</v>
      </c>
      <c r="F134">
        <v>559</v>
      </c>
      <c r="G134" s="27" t="s">
        <v>251</v>
      </c>
      <c r="H134" t="s">
        <v>618</v>
      </c>
      <c r="I134" t="s">
        <v>315</v>
      </c>
    </row>
    <row r="135" spans="1:9" x14ac:dyDescent="0.15">
      <c r="A135" t="s">
        <v>50</v>
      </c>
      <c r="B135" t="s">
        <v>271</v>
      </c>
      <c r="C135" s="57" t="s">
        <v>61</v>
      </c>
      <c r="D135" t="s">
        <v>78</v>
      </c>
      <c r="E135" t="s">
        <v>185</v>
      </c>
      <c r="F135">
        <v>230</v>
      </c>
      <c r="G135" s="27" t="s">
        <v>186</v>
      </c>
      <c r="H135" t="s">
        <v>618</v>
      </c>
      <c r="I135" t="s">
        <v>315</v>
      </c>
    </row>
    <row r="136" spans="1:9" x14ac:dyDescent="0.15">
      <c r="A136" t="s">
        <v>51</v>
      </c>
      <c r="B136" t="s">
        <v>114</v>
      </c>
      <c r="C136" s="57" t="s">
        <v>61</v>
      </c>
      <c r="D136" t="s">
        <v>78</v>
      </c>
      <c r="E136" t="s">
        <v>185</v>
      </c>
      <c r="F136">
        <v>230</v>
      </c>
      <c r="G136" s="27" t="s">
        <v>186</v>
      </c>
      <c r="H136" t="s">
        <v>618</v>
      </c>
      <c r="I136" t="s">
        <v>315</v>
      </c>
    </row>
    <row r="137" spans="1:9" x14ac:dyDescent="0.15">
      <c r="A137" t="s">
        <v>272</v>
      </c>
      <c r="B137" t="s">
        <v>114</v>
      </c>
      <c r="D137" t="s">
        <v>78</v>
      </c>
      <c r="E137" t="s">
        <v>189</v>
      </c>
      <c r="F137">
        <v>286</v>
      </c>
      <c r="G137" s="27" t="s">
        <v>190</v>
      </c>
      <c r="H137" t="s">
        <v>622</v>
      </c>
    </row>
    <row r="138" spans="1:9" x14ac:dyDescent="0.15">
      <c r="A138" t="s">
        <v>273</v>
      </c>
      <c r="B138" t="s">
        <v>114</v>
      </c>
      <c r="C138" s="58" t="s">
        <v>253</v>
      </c>
      <c r="D138" t="s">
        <v>78</v>
      </c>
      <c r="E138" t="s">
        <v>254</v>
      </c>
      <c r="F138">
        <v>230</v>
      </c>
      <c r="G138" s="27" t="s">
        <v>186</v>
      </c>
      <c r="H138" t="s">
        <v>620</v>
      </c>
    </row>
    <row r="139" spans="1:9" x14ac:dyDescent="0.15">
      <c r="A139" t="s">
        <v>52</v>
      </c>
      <c r="B139" t="s">
        <v>414</v>
      </c>
      <c r="C139" s="57" t="s">
        <v>72</v>
      </c>
      <c r="D139" t="s">
        <v>78</v>
      </c>
      <c r="E139" t="s">
        <v>250</v>
      </c>
      <c r="F139">
        <v>559</v>
      </c>
      <c r="G139" s="27" t="s">
        <v>274</v>
      </c>
      <c r="H139" t="s">
        <v>618</v>
      </c>
      <c r="I139" t="s">
        <v>315</v>
      </c>
    </row>
    <row r="140" spans="1:9" x14ac:dyDescent="0.15">
      <c r="A140" t="s">
        <v>53</v>
      </c>
      <c r="B140" t="s">
        <v>414</v>
      </c>
      <c r="C140" s="57" t="s">
        <v>72</v>
      </c>
      <c r="D140" t="s">
        <v>78</v>
      </c>
      <c r="E140" t="s">
        <v>185</v>
      </c>
      <c r="F140">
        <v>230</v>
      </c>
      <c r="G140" s="27" t="s">
        <v>186</v>
      </c>
      <c r="H140" t="s">
        <v>618</v>
      </c>
      <c r="I140" t="s">
        <v>315</v>
      </c>
    </row>
    <row r="141" spans="1:9" x14ac:dyDescent="0.15">
      <c r="A141" t="s">
        <v>54</v>
      </c>
      <c r="B141" t="s">
        <v>414</v>
      </c>
      <c r="C141" s="57" t="s">
        <v>72</v>
      </c>
      <c r="D141" t="s">
        <v>78</v>
      </c>
      <c r="E141" t="s">
        <v>275</v>
      </c>
      <c r="F141">
        <v>287</v>
      </c>
      <c r="G141" s="27" t="s">
        <v>257</v>
      </c>
      <c r="H141" t="s">
        <v>618</v>
      </c>
      <c r="I141" t="s">
        <v>315</v>
      </c>
    </row>
    <row r="142" spans="1:9" x14ac:dyDescent="0.15">
      <c r="A142" t="s">
        <v>107</v>
      </c>
      <c r="B142" t="s">
        <v>414</v>
      </c>
      <c r="D142" t="s">
        <v>78</v>
      </c>
      <c r="E142" t="s">
        <v>244</v>
      </c>
      <c r="F142">
        <v>289</v>
      </c>
      <c r="G142" s="27" t="s">
        <v>245</v>
      </c>
      <c r="H142" t="s">
        <v>618</v>
      </c>
      <c r="I142" t="s">
        <v>315</v>
      </c>
    </row>
    <row r="143" spans="1:9" x14ac:dyDescent="0.15">
      <c r="A143" t="s">
        <v>276</v>
      </c>
      <c r="B143" t="s">
        <v>414</v>
      </c>
      <c r="C143" s="58" t="s">
        <v>253</v>
      </c>
      <c r="D143" t="s">
        <v>78</v>
      </c>
      <c r="E143" t="s">
        <v>254</v>
      </c>
      <c r="F143">
        <v>230</v>
      </c>
      <c r="G143" s="27" t="s">
        <v>186</v>
      </c>
      <c r="H143" t="s">
        <v>663</v>
      </c>
    </row>
    <row r="144" spans="1:9" x14ac:dyDescent="0.15">
      <c r="A144" t="s">
        <v>55</v>
      </c>
      <c r="B144" t="s">
        <v>415</v>
      </c>
      <c r="C144" s="57" t="s">
        <v>72</v>
      </c>
      <c r="D144" t="s">
        <v>78</v>
      </c>
      <c r="E144" t="s">
        <v>275</v>
      </c>
      <c r="F144">
        <v>287</v>
      </c>
      <c r="G144" s="27" t="s">
        <v>257</v>
      </c>
      <c r="H144" t="s">
        <v>618</v>
      </c>
      <c r="I144" t="s">
        <v>315</v>
      </c>
    </row>
    <row r="145" spans="1:9" x14ac:dyDescent="0.15">
      <c r="A145" t="s">
        <v>0</v>
      </c>
      <c r="B145" t="s">
        <v>415</v>
      </c>
      <c r="C145" s="57" t="s">
        <v>72</v>
      </c>
      <c r="D145" t="s">
        <v>78</v>
      </c>
      <c r="E145" t="s">
        <v>185</v>
      </c>
      <c r="F145">
        <v>230</v>
      </c>
      <c r="G145" s="27" t="s">
        <v>186</v>
      </c>
      <c r="H145" t="s">
        <v>618</v>
      </c>
      <c r="I145" t="s">
        <v>315</v>
      </c>
    </row>
    <row r="146" spans="1:9" x14ac:dyDescent="0.15">
      <c r="A146" t="s">
        <v>56</v>
      </c>
      <c r="B146" t="s">
        <v>415</v>
      </c>
      <c r="C146" s="57" t="s">
        <v>72</v>
      </c>
      <c r="D146" t="s">
        <v>78</v>
      </c>
      <c r="E146" t="s">
        <v>277</v>
      </c>
      <c r="F146">
        <v>289</v>
      </c>
      <c r="G146" s="27">
        <v>1608</v>
      </c>
      <c r="H146" t="s">
        <v>618</v>
      </c>
      <c r="I146" t="s">
        <v>315</v>
      </c>
    </row>
    <row r="147" spans="1:9" x14ac:dyDescent="0.15">
      <c r="A147" t="s">
        <v>108</v>
      </c>
      <c r="B147" t="s">
        <v>415</v>
      </c>
      <c r="D147" t="s">
        <v>78</v>
      </c>
      <c r="E147" t="s">
        <v>250</v>
      </c>
      <c r="F147">
        <v>559</v>
      </c>
      <c r="G147" s="27" t="s">
        <v>274</v>
      </c>
      <c r="H147" t="s">
        <v>618</v>
      </c>
      <c r="I147" t="s">
        <v>315</v>
      </c>
    </row>
    <row r="148" spans="1:9" x14ac:dyDescent="0.15">
      <c r="A148" t="s">
        <v>278</v>
      </c>
      <c r="B148" t="s">
        <v>415</v>
      </c>
      <c r="C148" s="58" t="s">
        <v>253</v>
      </c>
      <c r="D148" t="s">
        <v>78</v>
      </c>
      <c r="E148" t="s">
        <v>254</v>
      </c>
      <c r="F148">
        <v>230</v>
      </c>
      <c r="G148" s="27" t="s">
        <v>186</v>
      </c>
      <c r="H148" t="s">
        <v>619</v>
      </c>
      <c r="I148" t="s">
        <v>259</v>
      </c>
    </row>
    <row r="149" spans="1:9" x14ac:dyDescent="0.15">
      <c r="A149" t="s">
        <v>361</v>
      </c>
      <c r="B149" t="s">
        <v>415</v>
      </c>
      <c r="C149" s="57" t="s">
        <v>267</v>
      </c>
      <c r="D149" t="s">
        <v>78</v>
      </c>
      <c r="E149" t="s">
        <v>362</v>
      </c>
      <c r="F149">
        <v>287</v>
      </c>
      <c r="G149" s="27" t="s">
        <v>363</v>
      </c>
      <c r="H149" t="s">
        <v>91</v>
      </c>
    </row>
    <row r="150" spans="1:9" x14ac:dyDescent="0.15">
      <c r="A150" t="s">
        <v>328</v>
      </c>
      <c r="B150" t="s">
        <v>415</v>
      </c>
      <c r="C150" s="58" t="s">
        <v>193</v>
      </c>
      <c r="D150" t="s">
        <v>78</v>
      </c>
      <c r="E150" t="s">
        <v>194</v>
      </c>
      <c r="F150">
        <v>490</v>
      </c>
      <c r="G150" s="27">
        <v>1444</v>
      </c>
      <c r="H150" t="s">
        <v>91</v>
      </c>
    </row>
    <row r="151" spans="1:9" x14ac:dyDescent="0.15">
      <c r="A151" t="s">
        <v>327</v>
      </c>
      <c r="B151" t="s">
        <v>415</v>
      </c>
      <c r="C151" s="57" t="s">
        <v>155</v>
      </c>
      <c r="D151" t="s">
        <v>78</v>
      </c>
      <c r="E151" t="s">
        <v>148</v>
      </c>
      <c r="F151">
        <v>479</v>
      </c>
      <c r="G151" s="27" t="s">
        <v>94</v>
      </c>
      <c r="H151" t="s">
        <v>96</v>
      </c>
    </row>
    <row r="152" spans="1:9" x14ac:dyDescent="0.15">
      <c r="A152" t="s">
        <v>343</v>
      </c>
      <c r="B152" t="s">
        <v>415</v>
      </c>
      <c r="C152" s="58" t="s">
        <v>333</v>
      </c>
      <c r="D152" t="s">
        <v>78</v>
      </c>
      <c r="E152" t="s">
        <v>331</v>
      </c>
      <c r="F152">
        <v>287</v>
      </c>
      <c r="G152" s="27" t="s">
        <v>332</v>
      </c>
      <c r="H152" t="s">
        <v>174</v>
      </c>
    </row>
    <row r="153" spans="1:9" x14ac:dyDescent="0.15">
      <c r="A153" t="s">
        <v>57</v>
      </c>
      <c r="B153" t="s">
        <v>416</v>
      </c>
      <c r="C153" s="57" t="s">
        <v>279</v>
      </c>
      <c r="D153" t="s">
        <v>78</v>
      </c>
      <c r="E153" t="s">
        <v>280</v>
      </c>
      <c r="F153">
        <v>135</v>
      </c>
      <c r="G153" s="27" t="s">
        <v>281</v>
      </c>
      <c r="H153" t="s">
        <v>636</v>
      </c>
    </row>
    <row r="154" spans="1:9" x14ac:dyDescent="0.15">
      <c r="A154" t="s">
        <v>111</v>
      </c>
      <c r="B154" t="s">
        <v>416</v>
      </c>
      <c r="D154" t="s">
        <v>78</v>
      </c>
      <c r="E154" t="s">
        <v>282</v>
      </c>
      <c r="F154">
        <v>289</v>
      </c>
      <c r="G154" s="27" t="s">
        <v>245</v>
      </c>
      <c r="H154" t="s">
        <v>81</v>
      </c>
    </row>
    <row r="155" spans="1:9" x14ac:dyDescent="0.15">
      <c r="A155" t="s">
        <v>283</v>
      </c>
      <c r="B155" t="s">
        <v>84</v>
      </c>
      <c r="D155" t="s">
        <v>78</v>
      </c>
      <c r="E155" t="s">
        <v>284</v>
      </c>
      <c r="F155">
        <v>379</v>
      </c>
      <c r="G155" s="27">
        <v>133</v>
      </c>
      <c r="H155" t="s">
        <v>85</v>
      </c>
    </row>
    <row r="156" spans="1:9" x14ac:dyDescent="0.15">
      <c r="A156" t="s">
        <v>285</v>
      </c>
      <c r="B156" t="s">
        <v>84</v>
      </c>
      <c r="D156" t="s">
        <v>78</v>
      </c>
      <c r="E156" t="s">
        <v>286</v>
      </c>
      <c r="F156">
        <v>230</v>
      </c>
      <c r="G156" s="27">
        <v>54</v>
      </c>
    </row>
    <row r="157" spans="1:9" x14ac:dyDescent="0.15">
      <c r="A157" t="s">
        <v>287</v>
      </c>
      <c r="B157" t="s">
        <v>84</v>
      </c>
      <c r="C157" s="57" t="s">
        <v>89</v>
      </c>
      <c r="D157" t="s">
        <v>78</v>
      </c>
      <c r="E157" t="s">
        <v>286</v>
      </c>
      <c r="H157" t="s">
        <v>87</v>
      </c>
    </row>
    <row r="158" spans="1:9" x14ac:dyDescent="0.15">
      <c r="A158" t="s">
        <v>288</v>
      </c>
      <c r="B158" t="s">
        <v>88</v>
      </c>
      <c r="C158" s="57" t="s">
        <v>92</v>
      </c>
      <c r="D158" t="s">
        <v>78</v>
      </c>
      <c r="E158" t="s">
        <v>237</v>
      </c>
      <c r="F158">
        <v>230</v>
      </c>
      <c r="G158" s="28" t="s">
        <v>186</v>
      </c>
      <c r="H158" t="s">
        <v>87</v>
      </c>
    </row>
    <row r="159" spans="1:9" x14ac:dyDescent="0.15">
      <c r="A159" t="s">
        <v>348</v>
      </c>
      <c r="B159" t="s">
        <v>417</v>
      </c>
      <c r="C159" s="57" t="s">
        <v>155</v>
      </c>
      <c r="D159" t="s">
        <v>78</v>
      </c>
      <c r="E159" t="s">
        <v>73</v>
      </c>
      <c r="F159">
        <v>479</v>
      </c>
      <c r="G159" s="27" t="s">
        <v>94</v>
      </c>
      <c r="H159" t="s">
        <v>91</v>
      </c>
    </row>
    <row r="160" spans="1:9" x14ac:dyDescent="0.15">
      <c r="A160" t="s">
        <v>378</v>
      </c>
      <c r="B160" t="s">
        <v>417</v>
      </c>
      <c r="C160" s="58" t="s">
        <v>379</v>
      </c>
      <c r="D160" t="s">
        <v>78</v>
      </c>
      <c r="E160" s="58" t="s">
        <v>380</v>
      </c>
      <c r="F160">
        <v>287</v>
      </c>
      <c r="G160" s="28" t="s">
        <v>381</v>
      </c>
      <c r="H160" t="s">
        <v>91</v>
      </c>
    </row>
    <row r="161" spans="1:9" x14ac:dyDescent="0.15">
      <c r="A161" t="s">
        <v>382</v>
      </c>
      <c r="B161" t="s">
        <v>417</v>
      </c>
      <c r="C161" s="58" t="s">
        <v>383</v>
      </c>
      <c r="D161" t="s">
        <v>78</v>
      </c>
      <c r="E161" s="58" t="s">
        <v>384</v>
      </c>
      <c r="F161">
        <v>278</v>
      </c>
      <c r="G161" s="28" t="s">
        <v>385</v>
      </c>
      <c r="H161" t="s">
        <v>386</v>
      </c>
    </row>
    <row r="162" spans="1:9" x14ac:dyDescent="0.15">
      <c r="A162" t="s">
        <v>394</v>
      </c>
      <c r="B162" t="s">
        <v>395</v>
      </c>
      <c r="C162" s="58" t="s">
        <v>146</v>
      </c>
      <c r="D162" t="s">
        <v>78</v>
      </c>
      <c r="E162" t="s">
        <v>147</v>
      </c>
      <c r="F162">
        <v>490</v>
      </c>
      <c r="G162" s="27" t="s">
        <v>226</v>
      </c>
    </row>
    <row r="163" spans="1:9" x14ac:dyDescent="0.15">
      <c r="A163" s="66" t="s">
        <v>396</v>
      </c>
      <c r="B163" t="s">
        <v>395</v>
      </c>
      <c r="C163" s="57" t="s">
        <v>160</v>
      </c>
      <c r="D163" t="s">
        <v>78</v>
      </c>
      <c r="E163" t="s">
        <v>161</v>
      </c>
      <c r="F163">
        <v>286</v>
      </c>
      <c r="G163" s="27" t="s">
        <v>167</v>
      </c>
    </row>
    <row r="164" spans="1:9" x14ac:dyDescent="0.15">
      <c r="A164" s="66" t="s">
        <v>397</v>
      </c>
      <c r="B164" t="s">
        <v>418</v>
      </c>
      <c r="C164" s="58" t="s">
        <v>223</v>
      </c>
      <c r="D164" t="s">
        <v>78</v>
      </c>
      <c r="E164" t="s">
        <v>200</v>
      </c>
      <c r="F164">
        <v>287</v>
      </c>
      <c r="G164" s="27" t="s">
        <v>201</v>
      </c>
    </row>
    <row r="165" spans="1:9" x14ac:dyDescent="0.15">
      <c r="A165" s="66" t="s">
        <v>398</v>
      </c>
      <c r="B165" t="s">
        <v>395</v>
      </c>
      <c r="C165" s="58" t="s">
        <v>193</v>
      </c>
      <c r="D165" t="s">
        <v>78</v>
      </c>
      <c r="E165" t="s">
        <v>165</v>
      </c>
      <c r="F165">
        <v>490</v>
      </c>
      <c r="G165" s="27" t="s">
        <v>226</v>
      </c>
    </row>
    <row r="166" spans="1:9" x14ac:dyDescent="0.15">
      <c r="A166" s="66" t="s">
        <v>426</v>
      </c>
      <c r="B166" t="s">
        <v>428</v>
      </c>
      <c r="C166" s="58" t="s">
        <v>223</v>
      </c>
      <c r="D166" t="s">
        <v>78</v>
      </c>
      <c r="E166" s="58" t="s">
        <v>430</v>
      </c>
      <c r="F166" s="58">
        <v>287</v>
      </c>
      <c r="G166" s="27" t="s">
        <v>431</v>
      </c>
      <c r="H166" t="s">
        <v>338</v>
      </c>
    </row>
    <row r="167" spans="1:9" x14ac:dyDescent="0.15">
      <c r="A167" s="66" t="s">
        <v>427</v>
      </c>
      <c r="B167" t="s">
        <v>428</v>
      </c>
      <c r="C167" s="58" t="s">
        <v>429</v>
      </c>
      <c r="D167" t="s">
        <v>78</v>
      </c>
      <c r="E167" s="58" t="s">
        <v>432</v>
      </c>
      <c r="F167" s="58">
        <v>289</v>
      </c>
      <c r="G167" s="27" t="s">
        <v>433</v>
      </c>
      <c r="H167" t="s">
        <v>338</v>
      </c>
    </row>
    <row r="168" spans="1:9" x14ac:dyDescent="0.15">
      <c r="A168" s="66" t="s">
        <v>439</v>
      </c>
      <c r="B168" t="s">
        <v>428</v>
      </c>
      <c r="C168" s="58" t="s">
        <v>441</v>
      </c>
      <c r="D168" t="s">
        <v>78</v>
      </c>
      <c r="E168" s="58" t="s">
        <v>443</v>
      </c>
      <c r="F168" s="58">
        <v>289</v>
      </c>
      <c r="G168" s="27" t="s">
        <v>445</v>
      </c>
      <c r="H168" t="s">
        <v>338</v>
      </c>
    </row>
    <row r="169" spans="1:9" x14ac:dyDescent="0.15">
      <c r="A169" s="66" t="s">
        <v>440</v>
      </c>
      <c r="B169" t="s">
        <v>428</v>
      </c>
      <c r="C169" s="58" t="s">
        <v>442</v>
      </c>
      <c r="D169" t="s">
        <v>78</v>
      </c>
      <c r="E169" s="58" t="s">
        <v>444</v>
      </c>
      <c r="F169" s="58">
        <v>289</v>
      </c>
      <c r="G169" s="27" t="s">
        <v>446</v>
      </c>
      <c r="H169" t="s">
        <v>338</v>
      </c>
      <c r="I169" s="71"/>
    </row>
    <row r="170" spans="1:9" x14ac:dyDescent="0.15">
      <c r="A170" s="66" t="s">
        <v>482</v>
      </c>
      <c r="B170" t="s">
        <v>483</v>
      </c>
      <c r="C170" s="58" t="s">
        <v>193</v>
      </c>
      <c r="D170" t="s">
        <v>78</v>
      </c>
      <c r="E170" t="s">
        <v>165</v>
      </c>
      <c r="F170">
        <v>490</v>
      </c>
      <c r="G170" s="27">
        <v>1444</v>
      </c>
      <c r="H170" t="s">
        <v>91</v>
      </c>
    </row>
    <row r="171" spans="1:9" x14ac:dyDescent="0.15">
      <c r="A171" s="66" t="s">
        <v>549</v>
      </c>
      <c r="B171" t="s">
        <v>550</v>
      </c>
      <c r="C171" s="58" t="s">
        <v>223</v>
      </c>
      <c r="D171" t="s">
        <v>78</v>
      </c>
      <c r="E171" s="58" t="s">
        <v>430</v>
      </c>
      <c r="F171" s="58">
        <v>287</v>
      </c>
      <c r="G171" s="27" t="s">
        <v>201</v>
      </c>
      <c r="H171" t="s">
        <v>338</v>
      </c>
    </row>
    <row r="172" spans="1:9" x14ac:dyDescent="0.15">
      <c r="A172" s="66" t="s">
        <v>537</v>
      </c>
      <c r="B172" t="s">
        <v>583</v>
      </c>
      <c r="C172" s="58" t="s">
        <v>538</v>
      </c>
      <c r="D172" t="s">
        <v>78</v>
      </c>
      <c r="E172" s="58" t="s">
        <v>539</v>
      </c>
      <c r="F172">
        <v>289</v>
      </c>
      <c r="G172" s="27" t="s">
        <v>540</v>
      </c>
      <c r="H172" t="s">
        <v>541</v>
      </c>
    </row>
    <row r="173" spans="1:9" x14ac:dyDescent="0.15">
      <c r="A173" s="66" t="s">
        <v>564</v>
      </c>
      <c r="B173" t="s">
        <v>583</v>
      </c>
      <c r="C173" t="s">
        <v>581</v>
      </c>
      <c r="D173" t="s">
        <v>78</v>
      </c>
      <c r="E173" t="s">
        <v>582</v>
      </c>
      <c r="F173">
        <v>289</v>
      </c>
      <c r="G173" s="72">
        <v>1606</v>
      </c>
      <c r="H173" t="s">
        <v>541</v>
      </c>
    </row>
    <row r="174" spans="1:9" x14ac:dyDescent="0.15">
      <c r="A174" s="66" t="s">
        <v>580</v>
      </c>
      <c r="B174" t="s">
        <v>583</v>
      </c>
      <c r="C174" s="58" t="s">
        <v>253</v>
      </c>
      <c r="D174" t="s">
        <v>78</v>
      </c>
      <c r="E174" t="s">
        <v>254</v>
      </c>
      <c r="F174">
        <v>230</v>
      </c>
      <c r="G174" s="27" t="s">
        <v>186</v>
      </c>
      <c r="H174" t="s">
        <v>541</v>
      </c>
    </row>
    <row r="175" spans="1:9" x14ac:dyDescent="0.15">
      <c r="A175" s="66" t="s">
        <v>617</v>
      </c>
      <c r="B175" t="s">
        <v>583</v>
      </c>
      <c r="C175" s="58" t="s">
        <v>538</v>
      </c>
      <c r="D175" t="s">
        <v>78</v>
      </c>
      <c r="E175" s="58" t="s">
        <v>539</v>
      </c>
      <c r="F175">
        <v>289</v>
      </c>
      <c r="G175" s="27" t="s">
        <v>245</v>
      </c>
      <c r="H175" t="s">
        <v>541</v>
      </c>
    </row>
    <row r="176" spans="1:9" x14ac:dyDescent="0.15">
      <c r="A176" s="66" t="s">
        <v>542</v>
      </c>
      <c r="B176" t="s">
        <v>543</v>
      </c>
      <c r="C176" s="58" t="s">
        <v>544</v>
      </c>
      <c r="D176" s="58" t="s">
        <v>545</v>
      </c>
      <c r="E176" s="58" t="s">
        <v>546</v>
      </c>
      <c r="F176">
        <v>332</v>
      </c>
      <c r="G176" s="27" t="s">
        <v>547</v>
      </c>
      <c r="H176" t="s">
        <v>651</v>
      </c>
    </row>
    <row r="177" spans="1:8" x14ac:dyDescent="0.15">
      <c r="A177" s="66" t="s">
        <v>551</v>
      </c>
      <c r="B177" t="s">
        <v>552</v>
      </c>
      <c r="C177" s="58" t="s">
        <v>553</v>
      </c>
      <c r="D177" s="58" t="s">
        <v>554</v>
      </c>
      <c r="E177" s="58" t="s">
        <v>555</v>
      </c>
      <c r="F177">
        <v>236</v>
      </c>
      <c r="G177" s="27" t="s">
        <v>556</v>
      </c>
      <c r="H177" t="s">
        <v>557</v>
      </c>
    </row>
    <row r="178" spans="1:8" x14ac:dyDescent="0.15">
      <c r="A178" s="66" t="s">
        <v>565</v>
      </c>
      <c r="B178" t="s">
        <v>566</v>
      </c>
      <c r="C178" s="58" t="s">
        <v>253</v>
      </c>
      <c r="D178" t="s">
        <v>78</v>
      </c>
      <c r="E178" t="s">
        <v>254</v>
      </c>
      <c r="F178">
        <v>230</v>
      </c>
      <c r="G178" s="27" t="s">
        <v>186</v>
      </c>
      <c r="H178" t="s">
        <v>618</v>
      </c>
    </row>
    <row r="179" spans="1:8" x14ac:dyDescent="0.15">
      <c r="A179" s="66" t="s">
        <v>567</v>
      </c>
      <c r="B179" t="s">
        <v>568</v>
      </c>
      <c r="C179" s="57" t="s">
        <v>155</v>
      </c>
      <c r="D179" t="s">
        <v>78</v>
      </c>
      <c r="E179" t="s">
        <v>73</v>
      </c>
      <c r="F179">
        <v>479</v>
      </c>
      <c r="G179" s="27" t="s">
        <v>94</v>
      </c>
    </row>
    <row r="180" spans="1:8" x14ac:dyDescent="0.15">
      <c r="A180" s="66" t="s">
        <v>600</v>
      </c>
      <c r="B180" t="s">
        <v>568</v>
      </c>
      <c r="C180" s="58" t="s">
        <v>601</v>
      </c>
      <c r="D180" s="58" t="s">
        <v>602</v>
      </c>
      <c r="E180" s="58" t="s">
        <v>603</v>
      </c>
      <c r="F180">
        <v>490</v>
      </c>
      <c r="G180" s="27" t="s">
        <v>604</v>
      </c>
    </row>
    <row r="181" spans="1:8" x14ac:dyDescent="0.15">
      <c r="A181" s="66" t="s">
        <v>605</v>
      </c>
      <c r="B181" t="s">
        <v>568</v>
      </c>
      <c r="C181" s="58" t="s">
        <v>606</v>
      </c>
      <c r="D181" s="58" t="s">
        <v>607</v>
      </c>
      <c r="E181" s="58" t="s">
        <v>608</v>
      </c>
      <c r="F181">
        <v>455</v>
      </c>
      <c r="G181" s="28" t="s">
        <v>609</v>
      </c>
    </row>
    <row r="182" spans="1:8" x14ac:dyDescent="0.15">
      <c r="A182" s="66" t="s">
        <v>616</v>
      </c>
      <c r="B182" t="s">
        <v>568</v>
      </c>
      <c r="C182" s="57" t="s">
        <v>146</v>
      </c>
      <c r="D182" t="s">
        <v>78</v>
      </c>
      <c r="E182" t="s">
        <v>147</v>
      </c>
      <c r="F182">
        <v>490</v>
      </c>
      <c r="G182" s="27">
        <v>1444</v>
      </c>
    </row>
    <row r="183" spans="1:8" x14ac:dyDescent="0.15">
      <c r="A183" s="66" t="s">
        <v>569</v>
      </c>
      <c r="B183" t="s">
        <v>570</v>
      </c>
      <c r="C183" s="58" t="s">
        <v>253</v>
      </c>
      <c r="D183" t="s">
        <v>78</v>
      </c>
      <c r="E183" t="s">
        <v>254</v>
      </c>
      <c r="F183">
        <v>230</v>
      </c>
      <c r="G183" s="27" t="s">
        <v>186</v>
      </c>
      <c r="H183" t="s">
        <v>619</v>
      </c>
    </row>
    <row r="184" spans="1:8" x14ac:dyDescent="0.15">
      <c r="A184" s="66" t="s">
        <v>589</v>
      </c>
      <c r="B184" t="s">
        <v>590</v>
      </c>
      <c r="C184" s="58" t="s">
        <v>591</v>
      </c>
      <c r="D184" s="58" t="s">
        <v>592</v>
      </c>
      <c r="E184" s="58" t="s">
        <v>593</v>
      </c>
      <c r="F184">
        <v>479</v>
      </c>
      <c r="G184" s="28" t="s">
        <v>594</v>
      </c>
      <c r="H184" t="s">
        <v>595</v>
      </c>
    </row>
    <row r="185" spans="1:8" x14ac:dyDescent="0.15">
      <c r="A185" t="s">
        <v>634</v>
      </c>
      <c r="B185" t="s">
        <v>635</v>
      </c>
      <c r="C185" s="57" t="s">
        <v>193</v>
      </c>
      <c r="D185" t="s">
        <v>78</v>
      </c>
      <c r="E185" t="s">
        <v>633</v>
      </c>
      <c r="F185">
        <v>490</v>
      </c>
      <c r="G185" s="27">
        <v>1444</v>
      </c>
      <c r="H185" t="s">
        <v>91</v>
      </c>
    </row>
    <row r="186" spans="1:8" x14ac:dyDescent="0.15">
      <c r="A186" t="s">
        <v>647</v>
      </c>
      <c r="B186" t="s">
        <v>635</v>
      </c>
      <c r="C186" s="57" t="s">
        <v>146</v>
      </c>
      <c r="D186" t="s">
        <v>78</v>
      </c>
      <c r="E186" t="s">
        <v>648</v>
      </c>
      <c r="F186">
        <v>490</v>
      </c>
      <c r="G186" s="27" t="s">
        <v>649</v>
      </c>
      <c r="H186" t="s">
        <v>91</v>
      </c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4"/>
  <sheetViews>
    <sheetView workbookViewId="0">
      <selection activeCell="C25" sqref="C25"/>
    </sheetView>
  </sheetViews>
  <sheetFormatPr defaultRowHeight="13.5" x14ac:dyDescent="0.15"/>
  <cols>
    <col min="1" max="1" width="7.125" bestFit="1" customWidth="1"/>
    <col min="2" max="2" width="24.125" bestFit="1" customWidth="1"/>
    <col min="3" max="3" width="68.625" bestFit="1" customWidth="1"/>
    <col min="4" max="4" width="5.25" bestFit="1" customWidth="1"/>
    <col min="5" max="5" width="13.875" bestFit="1" customWidth="1"/>
    <col min="6" max="6" width="4.5" bestFit="1" customWidth="1"/>
    <col min="7" max="7" width="5.5" bestFit="1" customWidth="1"/>
  </cols>
  <sheetData>
    <row r="1" spans="1:7" x14ac:dyDescent="0.15">
      <c r="A1" s="60" t="s">
        <v>15</v>
      </c>
      <c r="B1" t="s">
        <v>75</v>
      </c>
      <c r="C1" s="57" t="s">
        <v>70</v>
      </c>
      <c r="D1" t="s">
        <v>78</v>
      </c>
      <c r="E1" t="s">
        <v>237</v>
      </c>
      <c r="F1">
        <v>230</v>
      </c>
      <c r="G1" s="27" t="s">
        <v>306</v>
      </c>
    </row>
    <row r="2" spans="1:7" x14ac:dyDescent="0.15">
      <c r="A2" s="60" t="s">
        <v>12</v>
      </c>
      <c r="B2" t="s">
        <v>74</v>
      </c>
      <c r="C2" s="57" t="s">
        <v>69</v>
      </c>
      <c r="D2" t="s">
        <v>78</v>
      </c>
      <c r="E2" t="s">
        <v>233</v>
      </c>
      <c r="F2">
        <v>424</v>
      </c>
      <c r="G2" s="27" t="s">
        <v>232</v>
      </c>
    </row>
    <row r="3" spans="1:7" x14ac:dyDescent="0.15">
      <c r="A3" s="60" t="s">
        <v>14</v>
      </c>
      <c r="B3" t="s">
        <v>82</v>
      </c>
      <c r="C3" s="57" t="s">
        <v>70</v>
      </c>
      <c r="D3" t="s">
        <v>78</v>
      </c>
      <c r="E3" t="s">
        <v>237</v>
      </c>
      <c r="F3">
        <v>230</v>
      </c>
      <c r="G3" s="27" t="s">
        <v>186</v>
      </c>
    </row>
    <row r="4" spans="1:7" x14ac:dyDescent="0.15">
      <c r="A4" s="60" t="s">
        <v>238</v>
      </c>
      <c r="B4" t="s">
        <v>82</v>
      </c>
      <c r="C4" s="58" t="s">
        <v>239</v>
      </c>
      <c r="D4" t="s">
        <v>78</v>
      </c>
      <c r="E4" t="s">
        <v>240</v>
      </c>
      <c r="F4">
        <v>230</v>
      </c>
      <c r="G4" s="27" t="s">
        <v>186</v>
      </c>
    </row>
    <row r="5" spans="1:7" x14ac:dyDescent="0.15">
      <c r="A5" s="61" t="s">
        <v>34</v>
      </c>
      <c r="B5" s="61" t="s">
        <v>79</v>
      </c>
      <c r="C5" s="62" t="s">
        <v>71</v>
      </c>
      <c r="D5" s="61" t="s">
        <v>78</v>
      </c>
      <c r="E5" s="61" t="s">
        <v>289</v>
      </c>
      <c r="F5" s="61">
        <v>236</v>
      </c>
      <c r="G5" s="63" t="s">
        <v>290</v>
      </c>
    </row>
    <row r="6" spans="1:7" x14ac:dyDescent="0.15">
      <c r="A6" s="61" t="s">
        <v>291</v>
      </c>
      <c r="B6" s="61" t="s">
        <v>86</v>
      </c>
      <c r="C6" s="62" t="s">
        <v>71</v>
      </c>
      <c r="D6" s="61" t="s">
        <v>78</v>
      </c>
      <c r="E6" s="61" t="s">
        <v>292</v>
      </c>
      <c r="F6" s="61">
        <v>236</v>
      </c>
      <c r="G6" s="63" t="s">
        <v>290</v>
      </c>
    </row>
    <row r="7" spans="1:7" x14ac:dyDescent="0.15">
      <c r="A7" s="61" t="s">
        <v>293</v>
      </c>
      <c r="B7" s="61" t="s">
        <v>294</v>
      </c>
      <c r="C7" s="62"/>
      <c r="D7" s="61" t="s">
        <v>78</v>
      </c>
      <c r="E7" s="61" t="s">
        <v>387</v>
      </c>
      <c r="F7" s="61"/>
      <c r="G7" s="63"/>
    </row>
    <row r="8" spans="1:7" x14ac:dyDescent="0.15">
      <c r="A8" s="61" t="s">
        <v>35</v>
      </c>
      <c r="B8" s="61" t="s">
        <v>98</v>
      </c>
      <c r="C8" s="62" t="s">
        <v>71</v>
      </c>
      <c r="D8" s="61" t="s">
        <v>78</v>
      </c>
      <c r="E8" s="61" t="s">
        <v>295</v>
      </c>
      <c r="F8" s="61">
        <v>236</v>
      </c>
      <c r="G8" s="63" t="s">
        <v>290</v>
      </c>
    </row>
    <row r="9" spans="1:7" x14ac:dyDescent="0.15">
      <c r="A9" s="61" t="s">
        <v>36</v>
      </c>
      <c r="B9" s="61" t="s">
        <v>98</v>
      </c>
      <c r="C9" s="62" t="s">
        <v>71</v>
      </c>
      <c r="D9" s="61" t="s">
        <v>78</v>
      </c>
      <c r="E9" s="61" t="s">
        <v>250</v>
      </c>
      <c r="F9" s="61">
        <v>559</v>
      </c>
      <c r="G9" s="63" t="s">
        <v>251</v>
      </c>
    </row>
    <row r="10" spans="1:7" x14ac:dyDescent="0.15">
      <c r="A10" s="61" t="s">
        <v>37</v>
      </c>
      <c r="B10" s="61" t="s">
        <v>98</v>
      </c>
      <c r="C10" s="62" t="s">
        <v>71</v>
      </c>
      <c r="D10" s="61" t="s">
        <v>78</v>
      </c>
      <c r="E10" s="61"/>
      <c r="F10" s="61"/>
      <c r="G10" s="63"/>
    </row>
    <row r="11" spans="1:7" x14ac:dyDescent="0.15">
      <c r="A11" s="61" t="s">
        <v>38</v>
      </c>
      <c r="B11" s="61" t="s">
        <v>98</v>
      </c>
      <c r="C11" s="62" t="s">
        <v>71</v>
      </c>
      <c r="D11" s="61" t="s">
        <v>78</v>
      </c>
      <c r="E11" s="61"/>
      <c r="F11" s="61"/>
      <c r="G11" s="63"/>
    </row>
    <row r="12" spans="1:7" x14ac:dyDescent="0.15">
      <c r="A12" s="61" t="s">
        <v>39</v>
      </c>
      <c r="B12" s="61" t="s">
        <v>98</v>
      </c>
      <c r="C12" s="62" t="s">
        <v>71</v>
      </c>
      <c r="D12" s="61" t="s">
        <v>78</v>
      </c>
      <c r="E12" s="61" t="s">
        <v>292</v>
      </c>
      <c r="F12" s="61">
        <v>236</v>
      </c>
      <c r="G12" s="63" t="s">
        <v>290</v>
      </c>
    </row>
    <row r="13" spans="1:7" x14ac:dyDescent="0.15">
      <c r="A13" s="61" t="s">
        <v>109</v>
      </c>
      <c r="B13" s="61" t="s">
        <v>98</v>
      </c>
      <c r="C13" s="62"/>
      <c r="D13" s="61" t="s">
        <v>78</v>
      </c>
      <c r="E13" s="61" t="s">
        <v>296</v>
      </c>
      <c r="F13" s="61">
        <v>289</v>
      </c>
      <c r="G13" s="63" t="s">
        <v>245</v>
      </c>
    </row>
    <row r="14" spans="1:7" x14ac:dyDescent="0.15">
      <c r="A14" s="61" t="s">
        <v>110</v>
      </c>
      <c r="B14" s="61" t="s">
        <v>98</v>
      </c>
      <c r="C14" s="62"/>
      <c r="D14" s="61" t="s">
        <v>78</v>
      </c>
      <c r="E14" s="61" t="s">
        <v>297</v>
      </c>
      <c r="F14" s="61">
        <v>236</v>
      </c>
      <c r="G14" s="63" t="s">
        <v>290</v>
      </c>
    </row>
  </sheetData>
  <phoneticPr fontId="1"/>
  <pageMargins left="0.7" right="0.7" top="0.75" bottom="0.75" header="0.3" footer="0.3"/>
  <ignoredErrors>
    <ignoredError sqref="G3:G6 G8:G9 G12:G14 G1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4:M42"/>
  <sheetViews>
    <sheetView workbookViewId="0">
      <selection activeCell="O40" sqref="O40"/>
    </sheetView>
  </sheetViews>
  <sheetFormatPr defaultRowHeight="13.5" x14ac:dyDescent="0.15"/>
  <cols>
    <col min="13" max="13" width="15.125" bestFit="1" customWidth="1"/>
  </cols>
  <sheetData>
    <row r="24" spans="12:13" x14ac:dyDescent="0.15">
      <c r="L24">
        <v>1</v>
      </c>
      <c r="M24" t="s">
        <v>452</v>
      </c>
    </row>
    <row r="25" spans="12:13" x14ac:dyDescent="0.15">
      <c r="L25">
        <v>17</v>
      </c>
      <c r="M25" t="s">
        <v>453</v>
      </c>
    </row>
    <row r="26" spans="12:13" x14ac:dyDescent="0.15">
      <c r="L26">
        <v>13</v>
      </c>
      <c r="M26" t="s">
        <v>454</v>
      </c>
    </row>
    <row r="27" spans="12:13" x14ac:dyDescent="0.15">
      <c r="L27">
        <v>3</v>
      </c>
      <c r="M27" t="s">
        <v>455</v>
      </c>
    </row>
    <row r="28" spans="12:13" x14ac:dyDescent="0.15">
      <c r="L28">
        <v>101</v>
      </c>
      <c r="M28" t="s">
        <v>456</v>
      </c>
    </row>
    <row r="29" spans="12:13" x14ac:dyDescent="0.15">
      <c r="L29">
        <v>102</v>
      </c>
      <c r="M29" t="s">
        <v>457</v>
      </c>
    </row>
    <row r="30" spans="12:13" x14ac:dyDescent="0.15">
      <c r="L30">
        <v>4</v>
      </c>
      <c r="M30" t="s">
        <v>458</v>
      </c>
    </row>
    <row r="31" spans="12:13" x14ac:dyDescent="0.15">
      <c r="L31">
        <v>111</v>
      </c>
      <c r="M31" t="s">
        <v>459</v>
      </c>
    </row>
    <row r="32" spans="12:13" x14ac:dyDescent="0.15">
      <c r="L32">
        <v>112</v>
      </c>
      <c r="M32" t="s">
        <v>460</v>
      </c>
    </row>
    <row r="33" spans="12:13" x14ac:dyDescent="0.15">
      <c r="L33">
        <v>116</v>
      </c>
      <c r="M33" t="s">
        <v>461</v>
      </c>
    </row>
    <row r="34" spans="12:13" x14ac:dyDescent="0.15">
      <c r="L34">
        <v>117</v>
      </c>
      <c r="M34" t="s">
        <v>462</v>
      </c>
    </row>
    <row r="35" spans="12:13" x14ac:dyDescent="0.15">
      <c r="L35">
        <v>119</v>
      </c>
      <c r="M35" t="s">
        <v>463</v>
      </c>
    </row>
    <row r="36" spans="12:13" x14ac:dyDescent="0.15">
      <c r="L36">
        <v>11</v>
      </c>
      <c r="M36" t="s">
        <v>464</v>
      </c>
    </row>
    <row r="37" spans="12:13" x14ac:dyDescent="0.15">
      <c r="L37">
        <v>24</v>
      </c>
      <c r="M37" t="s">
        <v>465</v>
      </c>
    </row>
    <row r="38" spans="12:13" x14ac:dyDescent="0.15">
      <c r="L38">
        <v>14</v>
      </c>
      <c r="M38" t="s">
        <v>466</v>
      </c>
    </row>
    <row r="39" spans="12:13" x14ac:dyDescent="0.15">
      <c r="L39">
        <v>15</v>
      </c>
      <c r="M39" t="s">
        <v>467</v>
      </c>
    </row>
    <row r="40" spans="12:13" x14ac:dyDescent="0.15">
      <c r="L40">
        <v>27</v>
      </c>
      <c r="M40" t="s">
        <v>468</v>
      </c>
    </row>
    <row r="41" spans="12:13" x14ac:dyDescent="0.15">
      <c r="L41">
        <v>28</v>
      </c>
      <c r="M41" t="s">
        <v>469</v>
      </c>
    </row>
    <row r="42" spans="12:13" x14ac:dyDescent="0.15">
      <c r="L42">
        <v>46</v>
      </c>
      <c r="M42" t="s">
        <v>470</v>
      </c>
    </row>
  </sheetData>
  <phoneticPr fontId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I33" sqref="I33"/>
    </sheetView>
  </sheetViews>
  <sheetFormatPr defaultRowHeight="13.5" x14ac:dyDescent="0.15"/>
  <cols>
    <col min="1" max="2" width="12.25" customWidth="1"/>
    <col min="3" max="3" width="16.625" customWidth="1"/>
  </cols>
  <sheetData>
    <row r="1" spans="1:3" x14ac:dyDescent="0.15">
      <c r="A1" t="s">
        <v>533</v>
      </c>
      <c r="C1" t="s">
        <v>532</v>
      </c>
    </row>
    <row r="2" spans="1:3" x14ac:dyDescent="0.15">
      <c r="A2" t="s">
        <v>516</v>
      </c>
      <c r="B2" t="s">
        <v>519</v>
      </c>
      <c r="C2" t="s">
        <v>531</v>
      </c>
    </row>
    <row r="3" spans="1:3" x14ac:dyDescent="0.15">
      <c r="A3" t="s">
        <v>516</v>
      </c>
      <c r="B3" t="s">
        <v>530</v>
      </c>
      <c r="C3" t="s">
        <v>529</v>
      </c>
    </row>
    <row r="4" spans="1:3" x14ac:dyDescent="0.15">
      <c r="A4" t="s">
        <v>528</v>
      </c>
      <c r="B4" t="s">
        <v>527</v>
      </c>
      <c r="C4" t="s">
        <v>526</v>
      </c>
    </row>
    <row r="5" spans="1:3" x14ac:dyDescent="0.15">
      <c r="A5" t="s">
        <v>525</v>
      </c>
      <c r="B5" t="s">
        <v>524</v>
      </c>
      <c r="C5" t="s">
        <v>523</v>
      </c>
    </row>
    <row r="6" spans="1:3" x14ac:dyDescent="0.15">
      <c r="A6" t="s">
        <v>522</v>
      </c>
      <c r="B6" t="s">
        <v>521</v>
      </c>
      <c r="C6" t="s">
        <v>520</v>
      </c>
    </row>
    <row r="7" spans="1:3" x14ac:dyDescent="0.15">
      <c r="A7" t="s">
        <v>516</v>
      </c>
      <c r="B7" t="s">
        <v>519</v>
      </c>
      <c r="C7" t="s">
        <v>518</v>
      </c>
    </row>
    <row r="8" spans="1:3" x14ac:dyDescent="0.15">
      <c r="A8" t="s">
        <v>486</v>
      </c>
      <c r="B8" t="s">
        <v>485</v>
      </c>
      <c r="C8" t="s">
        <v>517</v>
      </c>
    </row>
    <row r="9" spans="1:3" x14ac:dyDescent="0.15">
      <c r="A9" t="s">
        <v>516</v>
      </c>
      <c r="B9" t="s">
        <v>515</v>
      </c>
      <c r="C9" t="s">
        <v>514</v>
      </c>
    </row>
    <row r="10" spans="1:3" x14ac:dyDescent="0.15">
      <c r="A10" t="s">
        <v>513</v>
      </c>
      <c r="B10" t="s">
        <v>512</v>
      </c>
      <c r="C10" t="s">
        <v>511</v>
      </c>
    </row>
    <row r="11" spans="1:3" x14ac:dyDescent="0.15">
      <c r="A11" t="s">
        <v>486</v>
      </c>
      <c r="B11" t="s">
        <v>485</v>
      </c>
      <c r="C11" t="s">
        <v>510</v>
      </c>
    </row>
    <row r="12" spans="1:3" x14ac:dyDescent="0.15">
      <c r="A12" t="s">
        <v>486</v>
      </c>
      <c r="B12" t="s">
        <v>485</v>
      </c>
      <c r="C12" t="s">
        <v>509</v>
      </c>
    </row>
    <row r="13" spans="1:3" x14ac:dyDescent="0.15">
      <c r="A13" t="s">
        <v>486</v>
      </c>
      <c r="B13" t="s">
        <v>485</v>
      </c>
      <c r="C13" t="s">
        <v>508</v>
      </c>
    </row>
    <row r="14" spans="1:3" x14ac:dyDescent="0.15">
      <c r="A14" t="s">
        <v>486</v>
      </c>
      <c r="B14" t="s">
        <v>485</v>
      </c>
      <c r="C14" t="s">
        <v>507</v>
      </c>
    </row>
    <row r="15" spans="1:3" x14ac:dyDescent="0.15">
      <c r="A15" t="s">
        <v>486</v>
      </c>
      <c r="B15" t="s">
        <v>485</v>
      </c>
      <c r="C15" t="s">
        <v>506</v>
      </c>
    </row>
    <row r="16" spans="1:3" x14ac:dyDescent="0.15">
      <c r="A16" t="s">
        <v>486</v>
      </c>
      <c r="B16" t="s">
        <v>485</v>
      </c>
      <c r="C16" t="s">
        <v>505</v>
      </c>
    </row>
    <row r="17" spans="1:3" x14ac:dyDescent="0.15">
      <c r="A17" t="s">
        <v>504</v>
      </c>
      <c r="B17" t="s">
        <v>503</v>
      </c>
      <c r="C17" t="s">
        <v>502</v>
      </c>
    </row>
    <row r="18" spans="1:3" x14ac:dyDescent="0.15">
      <c r="A18" t="s">
        <v>499</v>
      </c>
      <c r="B18" t="s">
        <v>498</v>
      </c>
      <c r="C18" t="s">
        <v>501</v>
      </c>
    </row>
    <row r="19" spans="1:3" x14ac:dyDescent="0.15">
      <c r="A19" t="s">
        <v>499</v>
      </c>
      <c r="B19" t="s">
        <v>498</v>
      </c>
      <c r="C19" t="s">
        <v>500</v>
      </c>
    </row>
    <row r="20" spans="1:3" x14ac:dyDescent="0.15">
      <c r="A20" t="s">
        <v>499</v>
      </c>
      <c r="B20" t="s">
        <v>498</v>
      </c>
      <c r="C20" t="s">
        <v>497</v>
      </c>
    </row>
    <row r="21" spans="1:3" x14ac:dyDescent="0.15">
      <c r="A21" t="s">
        <v>486</v>
      </c>
      <c r="B21" t="s">
        <v>485</v>
      </c>
      <c r="C21" t="s">
        <v>496</v>
      </c>
    </row>
    <row r="22" spans="1:3" x14ac:dyDescent="0.15">
      <c r="A22" t="s">
        <v>486</v>
      </c>
      <c r="B22" t="s">
        <v>485</v>
      </c>
      <c r="C22" t="s">
        <v>495</v>
      </c>
    </row>
    <row r="23" spans="1:3" x14ac:dyDescent="0.15">
      <c r="A23" t="s">
        <v>486</v>
      </c>
      <c r="B23" t="s">
        <v>485</v>
      </c>
      <c r="C23" t="s">
        <v>494</v>
      </c>
    </row>
    <row r="24" spans="1:3" x14ac:dyDescent="0.15">
      <c r="A24" t="s">
        <v>486</v>
      </c>
      <c r="B24" t="s">
        <v>485</v>
      </c>
      <c r="C24" t="s">
        <v>493</v>
      </c>
    </row>
    <row r="25" spans="1:3" x14ac:dyDescent="0.15">
      <c r="A25" t="s">
        <v>486</v>
      </c>
      <c r="B25" t="s">
        <v>485</v>
      </c>
      <c r="C25" t="s">
        <v>492</v>
      </c>
    </row>
    <row r="26" spans="1:3" x14ac:dyDescent="0.15">
      <c r="A26" t="s">
        <v>486</v>
      </c>
      <c r="B26" t="s">
        <v>485</v>
      </c>
      <c r="C26" t="s">
        <v>491</v>
      </c>
    </row>
    <row r="27" spans="1:3" x14ac:dyDescent="0.15">
      <c r="A27" t="s">
        <v>486</v>
      </c>
      <c r="B27" t="s">
        <v>485</v>
      </c>
      <c r="C27" t="s">
        <v>490</v>
      </c>
    </row>
    <row r="28" spans="1:3" x14ac:dyDescent="0.15">
      <c r="A28" t="s">
        <v>486</v>
      </c>
      <c r="B28" t="s">
        <v>485</v>
      </c>
      <c r="C28" t="s">
        <v>489</v>
      </c>
    </row>
    <row r="29" spans="1:3" x14ac:dyDescent="0.15">
      <c r="A29" t="s">
        <v>486</v>
      </c>
      <c r="B29" t="s">
        <v>485</v>
      </c>
      <c r="C29" t="s">
        <v>488</v>
      </c>
    </row>
    <row r="30" spans="1:3" x14ac:dyDescent="0.15">
      <c r="A30" t="s">
        <v>486</v>
      </c>
      <c r="B30" t="s">
        <v>485</v>
      </c>
      <c r="C30" t="s">
        <v>487</v>
      </c>
    </row>
    <row r="31" spans="1:3" x14ac:dyDescent="0.15">
      <c r="A31" t="s">
        <v>486</v>
      </c>
      <c r="B31" t="s">
        <v>485</v>
      </c>
      <c r="C31" t="s">
        <v>484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3"/>
  <sheetViews>
    <sheetView workbookViewId="0">
      <selection sqref="A1:S3"/>
    </sheetView>
  </sheetViews>
  <sheetFormatPr defaultRowHeight="13.5" x14ac:dyDescent="0.15"/>
  <sheetData>
    <row r="1" spans="1:19" x14ac:dyDescent="0.15">
      <c r="A1" t="s">
        <v>666</v>
      </c>
    </row>
    <row r="2" spans="1:19" x14ac:dyDescent="0.15">
      <c r="A2" t="s">
        <v>667</v>
      </c>
      <c r="B2" t="s">
        <v>117</v>
      </c>
      <c r="C2" t="s">
        <v>668</v>
      </c>
      <c r="D2" t="s">
        <v>669</v>
      </c>
      <c r="E2" t="s">
        <v>670</v>
      </c>
      <c r="F2" t="s">
        <v>671</v>
      </c>
      <c r="G2" t="s">
        <v>672</v>
      </c>
      <c r="H2" t="s">
        <v>673</v>
      </c>
      <c r="I2" t="s">
        <v>674</v>
      </c>
      <c r="J2" t="s">
        <v>675</v>
      </c>
      <c r="K2" t="s">
        <v>676</v>
      </c>
      <c r="L2" t="s">
        <v>677</v>
      </c>
      <c r="M2" t="s">
        <v>678</v>
      </c>
      <c r="N2" t="s">
        <v>132</v>
      </c>
      <c r="O2" t="s">
        <v>123</v>
      </c>
      <c r="P2" t="s">
        <v>679</v>
      </c>
      <c r="Q2" t="s">
        <v>680</v>
      </c>
      <c r="R2" t="s">
        <v>681</v>
      </c>
      <c r="S2" t="s">
        <v>682</v>
      </c>
    </row>
    <row r="3" spans="1:19" x14ac:dyDescent="0.15">
      <c r="A3" t="s">
        <v>683</v>
      </c>
      <c r="B3">
        <v>20170802</v>
      </c>
      <c r="C3" t="s">
        <v>684</v>
      </c>
      <c r="D3" t="s">
        <v>499</v>
      </c>
      <c r="E3" t="s">
        <v>685</v>
      </c>
      <c r="G3" t="s">
        <v>13</v>
      </c>
      <c r="H3" t="s">
        <v>686</v>
      </c>
      <c r="J3" t="s">
        <v>687</v>
      </c>
      <c r="L3" t="s">
        <v>688</v>
      </c>
      <c r="M3" t="s">
        <v>689</v>
      </c>
      <c r="N3" t="s">
        <v>690</v>
      </c>
      <c r="O3">
        <v>20170807</v>
      </c>
      <c r="P3">
        <v>20170804</v>
      </c>
      <c r="Q3">
        <v>3</v>
      </c>
      <c r="R3">
        <v>3</v>
      </c>
      <c r="S3" t="s">
        <v>691</v>
      </c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I17" sqref="I17"/>
    </sheetView>
  </sheetViews>
  <sheetFormatPr defaultRowHeight="13.5" x14ac:dyDescent="0.15"/>
  <cols>
    <col min="6" max="6" width="10.875" customWidth="1"/>
    <col min="10" max="12" width="9" style="30"/>
  </cols>
  <sheetData>
    <row r="1" spans="1:12" x14ac:dyDescent="0.15">
      <c r="A1" s="142" t="s">
        <v>640</v>
      </c>
      <c r="B1" s="142"/>
      <c r="C1" s="142"/>
    </row>
    <row r="2" spans="1:12" s="66" customFormat="1" x14ac:dyDescent="0.15">
      <c r="A2" s="143"/>
      <c r="B2" s="143"/>
      <c r="C2" s="143"/>
      <c r="J2" s="144"/>
      <c r="K2" s="144"/>
      <c r="L2" s="144"/>
    </row>
    <row r="3" spans="1:12" ht="17.25" x14ac:dyDescent="0.15">
      <c r="A3" s="156" t="s">
        <v>652</v>
      </c>
    </row>
    <row r="4" spans="1:12" ht="17.25" x14ac:dyDescent="0.15">
      <c r="A4" s="156" t="s">
        <v>653</v>
      </c>
    </row>
    <row r="6" spans="1:12" x14ac:dyDescent="0.15">
      <c r="A6" s="145"/>
      <c r="B6" s="145"/>
      <c r="C6" s="145"/>
      <c r="D6" s="145"/>
      <c r="E6" s="145"/>
      <c r="F6" s="145"/>
      <c r="G6" s="145"/>
      <c r="H6" s="145"/>
      <c r="I6" s="145"/>
    </row>
    <row r="7" spans="1:12" x14ac:dyDescent="0.15">
      <c r="A7" s="30"/>
      <c r="B7" s="30"/>
      <c r="C7" s="30"/>
      <c r="D7" s="30"/>
      <c r="E7" s="30"/>
      <c r="F7" s="30"/>
      <c r="G7" s="30"/>
    </row>
    <row r="8" spans="1:12" x14ac:dyDescent="0.15">
      <c r="A8" s="465" t="s">
        <v>641</v>
      </c>
      <c r="B8" s="466"/>
    </row>
    <row r="9" spans="1:12" x14ac:dyDescent="0.15">
      <c r="A9" s="146"/>
      <c r="B9" s="146"/>
    </row>
    <row r="10" spans="1:12" x14ac:dyDescent="0.15">
      <c r="A10" s="138" t="s">
        <v>642</v>
      </c>
      <c r="B10" s="138"/>
      <c r="C10" s="138"/>
      <c r="D10" s="138"/>
      <c r="E10" s="138"/>
      <c r="F10" s="138"/>
      <c r="G10" s="138"/>
      <c r="H10" s="138"/>
      <c r="I10" s="138"/>
    </row>
    <row r="12" spans="1:12" x14ac:dyDescent="0.15">
      <c r="A12" t="s">
        <v>643</v>
      </c>
    </row>
    <row r="13" spans="1:12" x14ac:dyDescent="0.15">
      <c r="A13" s="145"/>
      <c r="B13" s="145"/>
      <c r="C13" s="145"/>
      <c r="D13" s="145"/>
      <c r="E13" s="145"/>
      <c r="F13" s="145"/>
      <c r="G13" s="145"/>
      <c r="H13" s="145"/>
      <c r="I13" s="145"/>
    </row>
    <row r="15" spans="1:12" x14ac:dyDescent="0.15">
      <c r="A15" s="467" t="s">
        <v>644</v>
      </c>
      <c r="B15" s="468"/>
      <c r="C15" s="468"/>
      <c r="D15" s="468"/>
      <c r="E15" s="469"/>
    </row>
    <row r="16" spans="1:12" x14ac:dyDescent="0.15">
      <c r="A16" s="147"/>
      <c r="B16" s="147"/>
      <c r="C16" s="147"/>
      <c r="D16" s="147"/>
      <c r="E16" s="147"/>
    </row>
    <row r="17" spans="1:9" x14ac:dyDescent="0.15">
      <c r="A17" s="30" t="s">
        <v>645</v>
      </c>
      <c r="B17" s="30"/>
      <c r="C17" s="30"/>
      <c r="D17" s="30"/>
      <c r="E17" s="30"/>
      <c r="F17" s="30"/>
      <c r="G17" s="30"/>
      <c r="H17" s="30"/>
      <c r="I17" s="30"/>
    </row>
    <row r="18" spans="1:9" x14ac:dyDescent="0.15">
      <c r="A18" t="s">
        <v>646</v>
      </c>
    </row>
    <row r="19" spans="1:9" x14ac:dyDescent="0.15">
      <c r="A19" s="145"/>
      <c r="B19" s="145"/>
      <c r="C19" s="145"/>
      <c r="D19" s="145"/>
      <c r="E19" s="145"/>
      <c r="F19" s="145"/>
      <c r="G19" s="145"/>
      <c r="H19" s="145"/>
      <c r="I19" s="145"/>
    </row>
  </sheetData>
  <mergeCells count="2">
    <mergeCell ref="A8:B8"/>
    <mergeCell ref="A15:E15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40"/>
  <sheetViews>
    <sheetView workbookViewId="0">
      <selection activeCell="B9" sqref="B9:E9"/>
    </sheetView>
  </sheetViews>
  <sheetFormatPr defaultRowHeight="13.5" x14ac:dyDescent="0.15"/>
  <cols>
    <col min="1" max="1" width="11.5" customWidth="1"/>
    <col min="2" max="2" width="22.625" customWidth="1"/>
    <col min="3" max="3" width="9.125" customWidth="1"/>
    <col min="4" max="4" width="10.625" customWidth="1"/>
    <col min="5" max="5" width="1.875" customWidth="1"/>
    <col min="6" max="6" width="5.75" customWidth="1"/>
    <col min="7" max="7" width="7.5" customWidth="1"/>
    <col min="8" max="8" width="6.875" customWidth="1"/>
    <col min="9" max="9" width="4" customWidth="1"/>
    <col min="10" max="10" width="0.875" customWidth="1"/>
    <col min="11" max="11" width="2.875" customWidth="1"/>
    <col min="13" max="13" width="22.125" customWidth="1"/>
  </cols>
  <sheetData>
    <row r="1" spans="1:14" ht="19.5" thickBot="1" x14ac:dyDescent="0.2">
      <c r="A1" s="221" t="s">
        <v>67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2" spans="1:14" ht="31.5" customHeight="1" x14ac:dyDescent="0.15">
      <c r="A2" s="41" t="s">
        <v>4</v>
      </c>
      <c r="B2" s="231">
        <f>貼り付け!B3</f>
        <v>20170802</v>
      </c>
      <c r="C2" s="211"/>
      <c r="D2" s="232" t="s">
        <v>3</v>
      </c>
      <c r="E2" s="233"/>
      <c r="F2" s="234" t="str">
        <f>貼り付け!A3</f>
        <v>J708000739</v>
      </c>
      <c r="G2" s="235"/>
      <c r="H2" s="235"/>
      <c r="I2" s="235"/>
      <c r="J2" s="235"/>
      <c r="K2" s="236"/>
    </row>
    <row r="3" spans="1:14" ht="31.5" customHeight="1" x14ac:dyDescent="0.15">
      <c r="A3" s="20" t="s">
        <v>62</v>
      </c>
      <c r="B3" s="222" t="str">
        <f>IF(ISNA(VLOOKUP(貼り付け!G3,担当者,4,FALSE)),"",VLOOKUP(貼り付け!G3,担当者,4,FALSE))</f>
        <v>水野</v>
      </c>
      <c r="C3" s="222"/>
      <c r="D3" s="223" t="s">
        <v>63</v>
      </c>
      <c r="E3" s="224"/>
      <c r="F3" s="225"/>
      <c r="G3" s="226"/>
      <c r="H3" s="227"/>
      <c r="I3" s="227"/>
      <c r="J3" s="227"/>
      <c r="K3" s="228"/>
    </row>
    <row r="4" spans="1:14" ht="31.5" customHeight="1" x14ac:dyDescent="0.15">
      <c r="A4" s="20" t="s">
        <v>1</v>
      </c>
      <c r="B4" s="237" t="str">
        <f>貼り付け!G3</f>
        <v>PHT01</v>
      </c>
      <c r="C4" s="238"/>
      <c r="D4" s="237" t="str">
        <f>IF(ISNA(VLOOKUP(B4,納入先名,2,FALSE)),"",VLOOKUP(B4,納入先名,2,FALSE))</f>
        <v>フィリピンタミヤ</v>
      </c>
      <c r="E4" s="239"/>
      <c r="F4" s="239"/>
      <c r="G4" s="239"/>
      <c r="H4" s="239"/>
      <c r="I4" s="239"/>
      <c r="J4" s="239"/>
      <c r="K4" s="240"/>
    </row>
    <row r="5" spans="1:14" ht="31.5" customHeight="1" x14ac:dyDescent="0.15">
      <c r="A5" s="20" t="s">
        <v>2</v>
      </c>
      <c r="B5" s="241">
        <f>貼り付け!P3</f>
        <v>20170804</v>
      </c>
      <c r="C5" s="238"/>
      <c r="D5" s="242" t="s">
        <v>58</v>
      </c>
      <c r="E5" s="238"/>
      <c r="F5" s="243" t="str">
        <f>貼り付け!S3</f>
        <v>8/7納期</v>
      </c>
      <c r="G5" s="244"/>
      <c r="H5" s="244"/>
      <c r="I5" s="244"/>
      <c r="J5" s="244"/>
      <c r="K5" s="245"/>
      <c r="L5" s="34"/>
    </row>
    <row r="6" spans="1:14" ht="31.5" customHeight="1" x14ac:dyDescent="0.15">
      <c r="A6" s="20" t="s">
        <v>60</v>
      </c>
      <c r="B6" s="98" t="str">
        <f>貼り付け!C3</f>
        <v>タミヤ様分</v>
      </c>
      <c r="C6" s="246" t="str">
        <f>IF(ISNA(VLOOKUP(B4,納入先名,8,FALSE)),"",VLOOKUP(B4,納入先名,8,FALSE))</f>
        <v>タミヤ様分</v>
      </c>
      <c r="D6" s="246"/>
      <c r="E6" s="246"/>
      <c r="F6" s="246"/>
      <c r="G6" s="246"/>
      <c r="H6" s="246"/>
      <c r="I6" s="246"/>
      <c r="J6" s="246"/>
      <c r="K6" s="247"/>
    </row>
    <row r="7" spans="1:14" ht="31.5" customHeight="1" x14ac:dyDescent="0.15">
      <c r="A7" s="20" t="s">
        <v>5</v>
      </c>
      <c r="B7" s="229" t="str">
        <f>貼り付け!C3</f>
        <v>タミヤ様分</v>
      </c>
      <c r="C7" s="230"/>
      <c r="D7" s="22" t="s">
        <v>59</v>
      </c>
      <c r="E7" s="200" t="str">
        <f>貼り付け!E3</f>
        <v>伊坂化成株式会社　藤枝</v>
      </c>
      <c r="F7" s="201"/>
      <c r="G7" s="201"/>
      <c r="H7" s="201"/>
      <c r="I7" s="78"/>
      <c r="J7" s="198" t="s">
        <v>610</v>
      </c>
      <c r="K7" s="199"/>
      <c r="L7" s="34"/>
    </row>
    <row r="8" spans="1:14" ht="31.5" customHeight="1" x14ac:dyDescent="0.15">
      <c r="A8" s="20" t="s">
        <v>8</v>
      </c>
      <c r="B8" s="117" t="str">
        <f>貼り付け!H3&amp;"  "&amp;貼り付け!I3</f>
        <v xml:space="preserve">アオキトランス㈱興津ターミナル事務所  </v>
      </c>
      <c r="C8" s="118"/>
      <c r="D8" s="118" t="s">
        <v>661</v>
      </c>
      <c r="E8" s="118"/>
      <c r="F8" s="118"/>
      <c r="G8" s="118"/>
      <c r="H8" s="118"/>
      <c r="I8" s="118"/>
      <c r="J8" s="118"/>
      <c r="K8" s="119"/>
      <c r="L8" s="34"/>
      <c r="M8" s="30"/>
    </row>
    <row r="9" spans="1:14" ht="31.5" customHeight="1" x14ac:dyDescent="0.15">
      <c r="A9" s="214" t="s">
        <v>9</v>
      </c>
      <c r="B9" s="202" t="str">
        <f>貼り付け!J3</f>
        <v>静岡市清水区興津清見寺１３７５－１６</v>
      </c>
      <c r="C9" s="203"/>
      <c r="D9" s="203"/>
      <c r="E9" s="204"/>
      <c r="F9" s="49" t="s">
        <v>137</v>
      </c>
      <c r="G9" s="24">
        <f>IF(ISNA(VLOOKUP(B4,納入先名,6,FALSE)),"",VLOOKUP(B4,納入先名,6,FALSE))</f>
        <v>424</v>
      </c>
      <c r="H9" s="24" t="s">
        <v>138</v>
      </c>
      <c r="I9" s="205" t="str">
        <f>IF(ISNA(VLOOKUP(B4,納入先名,7,FALSE)),"",VLOOKUP(B4,納入先名,7,FALSE))</f>
        <v>0206</v>
      </c>
      <c r="J9" s="205"/>
      <c r="K9" s="206"/>
      <c r="L9" s="34"/>
    </row>
    <row r="10" spans="1:14" ht="31.5" customHeight="1" thickBot="1" x14ac:dyDescent="0.2">
      <c r="A10" s="215"/>
      <c r="B10" s="218" t="str">
        <f>IF(貼り付け!K3="","",貼り付け!K3)</f>
        <v/>
      </c>
      <c r="C10" s="219"/>
      <c r="D10" s="219"/>
      <c r="E10" s="220"/>
      <c r="F10" s="43" t="s">
        <v>139</v>
      </c>
      <c r="G10" s="216" t="str">
        <f>貼り付け!L3</f>
        <v>054-369-6666</v>
      </c>
      <c r="H10" s="216"/>
      <c r="I10" s="216"/>
      <c r="J10" s="216"/>
      <c r="K10" s="217"/>
      <c r="L10" s="33"/>
      <c r="M10" s="30"/>
    </row>
    <row r="11" spans="1:14" ht="21" customHeight="1" thickBot="1" x14ac:dyDescent="0.2">
      <c r="A11" s="50"/>
      <c r="B11" s="1"/>
      <c r="C11" s="1"/>
      <c r="D11" s="1"/>
      <c r="E11" s="167"/>
      <c r="F11" s="167"/>
      <c r="G11" s="167"/>
      <c r="H11" s="167"/>
      <c r="I11" s="167"/>
      <c r="J11" s="167"/>
      <c r="K11" s="167"/>
      <c r="L11" s="30"/>
      <c r="M11" s="32"/>
    </row>
    <row r="12" spans="1:14" ht="23.25" customHeight="1" thickBot="1" x14ac:dyDescent="0.2">
      <c r="A12" s="207" t="s">
        <v>6</v>
      </c>
      <c r="B12" s="208"/>
      <c r="C12" s="39" t="s">
        <v>7</v>
      </c>
      <c r="D12" s="209" t="s">
        <v>10</v>
      </c>
      <c r="E12" s="210"/>
      <c r="F12" s="210"/>
      <c r="G12" s="210"/>
      <c r="H12" s="211"/>
      <c r="I12" s="209"/>
      <c r="J12" s="212"/>
      <c r="K12" s="213"/>
      <c r="M12" s="82" t="s">
        <v>611</v>
      </c>
      <c r="N12" s="84" t="s">
        <v>612</v>
      </c>
    </row>
    <row r="13" spans="1:14" ht="15" customHeight="1" x14ac:dyDescent="0.15">
      <c r="A13" s="187" t="str">
        <f>IF(貼り付け!M3="","",貼り付け!M3)</f>
        <v>S1-FPA3-U-EX</v>
      </c>
      <c r="B13" s="193"/>
      <c r="C13" s="189">
        <f>IF(貼り付け!R3="","",貼り付け!R3)</f>
        <v>3</v>
      </c>
      <c r="D13" s="179"/>
      <c r="E13" s="180"/>
      <c r="F13" s="180"/>
      <c r="G13" s="180"/>
      <c r="H13" s="181"/>
      <c r="I13" s="179"/>
      <c r="J13" s="180"/>
      <c r="K13" s="185"/>
      <c r="M13" s="85" t="str">
        <f>IF(貼り付け!M3="","",貼り付け!M3)</f>
        <v>S1-FPA3-U-EX</v>
      </c>
    </row>
    <row r="14" spans="1:14" ht="15" customHeight="1" x14ac:dyDescent="0.15">
      <c r="A14" s="191" t="str">
        <f>IF(貼り付け!N3="","",貼り付け!N3)</f>
        <v>ＦＰＡ－３ (UN/16KG)</v>
      </c>
      <c r="B14" s="192"/>
      <c r="C14" s="190"/>
      <c r="D14" s="182"/>
      <c r="E14" s="183"/>
      <c r="F14" s="183"/>
      <c r="G14" s="183"/>
      <c r="H14" s="184"/>
      <c r="I14" s="182"/>
      <c r="J14" s="183"/>
      <c r="K14" s="186"/>
      <c r="M14" s="79" t="str">
        <f>IF(貼り付け!M4="","",貼り付け!M4)</f>
        <v/>
      </c>
    </row>
    <row r="15" spans="1:14" ht="15" customHeight="1" x14ac:dyDescent="0.15">
      <c r="A15" s="187" t="str">
        <f>IF(貼り付け!M4="","",貼り付け!M4)</f>
        <v/>
      </c>
      <c r="B15" s="188"/>
      <c r="C15" s="189" t="str">
        <f>IF(貼り付け!R4="","",貼り付け!R4)</f>
        <v/>
      </c>
      <c r="D15" s="179"/>
      <c r="E15" s="180"/>
      <c r="F15" s="180"/>
      <c r="G15" s="180"/>
      <c r="H15" s="181"/>
      <c r="I15" s="179"/>
      <c r="J15" s="180"/>
      <c r="K15" s="185"/>
      <c r="M15" s="80" t="str">
        <f>IF(貼り付け!M5="","",貼り付け!M5)</f>
        <v/>
      </c>
      <c r="N15" s="30"/>
    </row>
    <row r="16" spans="1:14" ht="15" customHeight="1" x14ac:dyDescent="0.15">
      <c r="A16" s="194" t="str">
        <f>IF(貼り付け!N4="","",貼り付け!N4)</f>
        <v/>
      </c>
      <c r="B16" s="195"/>
      <c r="C16" s="190"/>
      <c r="D16" s="182"/>
      <c r="E16" s="183"/>
      <c r="F16" s="183"/>
      <c r="G16" s="183"/>
      <c r="H16" s="184"/>
      <c r="I16" s="182"/>
      <c r="J16" s="183"/>
      <c r="K16" s="186"/>
      <c r="M16" s="80" t="str">
        <f>IF(貼り付け!M6="","",貼り付け!M6)</f>
        <v/>
      </c>
    </row>
    <row r="17" spans="1:14" ht="15" customHeight="1" x14ac:dyDescent="0.15">
      <c r="A17" s="187" t="str">
        <f>IF(貼り付け!M5="","",貼り付け!M5)</f>
        <v/>
      </c>
      <c r="B17" s="193"/>
      <c r="C17" s="189" t="str">
        <f>IF(貼り付け!R5="","",貼り付け!R5)</f>
        <v/>
      </c>
      <c r="D17" s="179"/>
      <c r="E17" s="180"/>
      <c r="F17" s="180"/>
      <c r="G17" s="180"/>
      <c r="H17" s="181"/>
      <c r="I17" s="179"/>
      <c r="J17" s="180"/>
      <c r="K17" s="185"/>
      <c r="M17" s="80" t="str">
        <f>IF(貼り付け!M7="","",貼り付け!M7)</f>
        <v/>
      </c>
    </row>
    <row r="18" spans="1:14" ht="15" customHeight="1" x14ac:dyDescent="0.15">
      <c r="A18" s="196" t="str">
        <f>IF(貼り付け!N5="","",貼り付け!N5)</f>
        <v/>
      </c>
      <c r="B18" s="197"/>
      <c r="C18" s="190"/>
      <c r="D18" s="182"/>
      <c r="E18" s="183"/>
      <c r="F18" s="183"/>
      <c r="G18" s="183"/>
      <c r="H18" s="184"/>
      <c r="I18" s="182"/>
      <c r="J18" s="183"/>
      <c r="K18" s="186"/>
      <c r="M18" s="80" t="str">
        <f>IF(貼り付け!M8="","",貼り付け!M8)</f>
        <v/>
      </c>
    </row>
    <row r="19" spans="1:14" ht="15" customHeight="1" x14ac:dyDescent="0.15">
      <c r="A19" s="187" t="str">
        <f>IF(貼り付け!M6="","",貼り付け!M6)</f>
        <v/>
      </c>
      <c r="B19" s="188"/>
      <c r="C19" s="189" t="str">
        <f>IF(貼り付け!R6="","",貼り付け!R6)</f>
        <v/>
      </c>
      <c r="D19" s="179"/>
      <c r="E19" s="180"/>
      <c r="F19" s="180"/>
      <c r="G19" s="180"/>
      <c r="H19" s="181"/>
      <c r="I19" s="179"/>
      <c r="J19" s="180"/>
      <c r="K19" s="185"/>
      <c r="M19" s="80" t="str">
        <f>IF(貼り付け!M9="","",貼り付け!M9)</f>
        <v/>
      </c>
    </row>
    <row r="20" spans="1:14" ht="15" customHeight="1" x14ac:dyDescent="0.15">
      <c r="A20" s="191" t="str">
        <f>IF(貼り付け!N6="","",貼り付け!N6)</f>
        <v/>
      </c>
      <c r="B20" s="192"/>
      <c r="C20" s="190"/>
      <c r="D20" s="182"/>
      <c r="E20" s="183"/>
      <c r="F20" s="183"/>
      <c r="G20" s="183"/>
      <c r="H20" s="184"/>
      <c r="I20" s="182"/>
      <c r="J20" s="183"/>
      <c r="K20" s="186"/>
      <c r="M20" s="80" t="str">
        <f>IF(貼り付け!M10="","",貼り付け!M10)</f>
        <v/>
      </c>
      <c r="N20" s="1"/>
    </row>
    <row r="21" spans="1:14" ht="15" customHeight="1" x14ac:dyDescent="0.15">
      <c r="A21" s="187" t="str">
        <f>IF(貼り付け!M7="","",貼り付け!M7)</f>
        <v/>
      </c>
      <c r="B21" s="188"/>
      <c r="C21" s="189" t="str">
        <f>IF(貼り付け!R7="","",貼り付け!R7)</f>
        <v/>
      </c>
      <c r="D21" s="179"/>
      <c r="E21" s="180"/>
      <c r="F21" s="180"/>
      <c r="G21" s="180"/>
      <c r="H21" s="181"/>
      <c r="I21" s="179"/>
      <c r="J21" s="180"/>
      <c r="K21" s="185"/>
      <c r="M21" s="80" t="str">
        <f>IF(貼り付け!M11="","",貼り付け!M11)</f>
        <v/>
      </c>
    </row>
    <row r="22" spans="1:14" ht="15" customHeight="1" x14ac:dyDescent="0.15">
      <c r="A22" s="191" t="str">
        <f>IF(貼り付け!N7="","",貼り付け!N7)</f>
        <v/>
      </c>
      <c r="B22" s="192"/>
      <c r="C22" s="190"/>
      <c r="D22" s="182"/>
      <c r="E22" s="183"/>
      <c r="F22" s="183"/>
      <c r="G22" s="183"/>
      <c r="H22" s="184"/>
      <c r="I22" s="182"/>
      <c r="J22" s="183"/>
      <c r="K22" s="186"/>
      <c r="M22" s="80" t="str">
        <f>IF(貼り付け!M12="","",貼り付け!M12)</f>
        <v/>
      </c>
    </row>
    <row r="23" spans="1:14" ht="15" customHeight="1" x14ac:dyDescent="0.15">
      <c r="A23" s="187" t="str">
        <f>IF(貼り付け!M8="","",貼り付け!M8)</f>
        <v/>
      </c>
      <c r="B23" s="188"/>
      <c r="C23" s="189" t="str">
        <f>IF(貼り付け!R8="","",貼り付け!R8)</f>
        <v/>
      </c>
      <c r="D23" s="179"/>
      <c r="E23" s="180"/>
      <c r="F23" s="180"/>
      <c r="G23" s="180"/>
      <c r="H23" s="181"/>
      <c r="I23" s="179"/>
      <c r="J23" s="180"/>
      <c r="K23" s="185"/>
      <c r="M23" s="80" t="str">
        <f>IF(貼り付け!M13="","",貼り付け!M13)</f>
        <v/>
      </c>
    </row>
    <row r="24" spans="1:14" ht="15" customHeight="1" x14ac:dyDescent="0.15">
      <c r="A24" s="191" t="str">
        <f>IF(貼り付け!N8="","",貼り付け!N8)</f>
        <v/>
      </c>
      <c r="B24" s="192"/>
      <c r="C24" s="190"/>
      <c r="D24" s="182"/>
      <c r="E24" s="183"/>
      <c r="F24" s="183"/>
      <c r="G24" s="183"/>
      <c r="H24" s="184"/>
      <c r="I24" s="182"/>
      <c r="J24" s="183"/>
      <c r="K24" s="186"/>
      <c r="M24" s="80" t="str">
        <f>IF(貼り付け!M14="","",貼り付け!M14)</f>
        <v/>
      </c>
    </row>
    <row r="25" spans="1:14" ht="15" customHeight="1" thickBot="1" x14ac:dyDescent="0.2">
      <c r="A25" s="187" t="str">
        <f>IF(貼り付け!M9="","",貼り付け!M9)</f>
        <v/>
      </c>
      <c r="B25" s="188"/>
      <c r="C25" s="189" t="str">
        <f>IF(貼り付け!R9="","",貼り付け!R9)</f>
        <v/>
      </c>
      <c r="D25" s="179"/>
      <c r="E25" s="180"/>
      <c r="F25" s="180"/>
      <c r="G25" s="180"/>
      <c r="H25" s="181"/>
      <c r="I25" s="179"/>
      <c r="J25" s="180"/>
      <c r="K25" s="185"/>
      <c r="M25" s="81" t="str">
        <f>IF(貼り付け!M15="","",貼り付け!M15)</f>
        <v/>
      </c>
    </row>
    <row r="26" spans="1:14" ht="15" customHeight="1" x14ac:dyDescent="0.15">
      <c r="A26" s="191" t="str">
        <f>IF(貼り付け!N9="","",貼り付け!N9)</f>
        <v/>
      </c>
      <c r="B26" s="192"/>
      <c r="C26" s="190"/>
      <c r="D26" s="182"/>
      <c r="E26" s="183"/>
      <c r="F26" s="183"/>
      <c r="G26" s="183"/>
      <c r="H26" s="184"/>
      <c r="I26" s="182"/>
      <c r="J26" s="183"/>
      <c r="K26" s="186"/>
    </row>
    <row r="27" spans="1:14" ht="15" customHeight="1" x14ac:dyDescent="0.15">
      <c r="A27" s="187" t="str">
        <f>IF(貼り付け!M10="","",貼り付け!M10)</f>
        <v/>
      </c>
      <c r="B27" s="188"/>
      <c r="C27" s="189" t="str">
        <f>IF(貼り付け!R10="","",貼り付け!R10)</f>
        <v/>
      </c>
      <c r="D27" s="179"/>
      <c r="E27" s="180"/>
      <c r="F27" s="180"/>
      <c r="G27" s="180"/>
      <c r="H27" s="181"/>
      <c r="I27" s="179"/>
      <c r="J27" s="180"/>
      <c r="K27" s="185"/>
    </row>
    <row r="28" spans="1:14" ht="15" customHeight="1" x14ac:dyDescent="0.15">
      <c r="A28" s="191" t="str">
        <f>IF(貼り付け!N10="","",貼り付け!N10)</f>
        <v/>
      </c>
      <c r="B28" s="192"/>
      <c r="C28" s="190"/>
      <c r="D28" s="182"/>
      <c r="E28" s="183"/>
      <c r="F28" s="183"/>
      <c r="G28" s="183"/>
      <c r="H28" s="184"/>
      <c r="I28" s="182"/>
      <c r="J28" s="183"/>
      <c r="K28" s="186"/>
    </row>
    <row r="29" spans="1:14" ht="15" customHeight="1" x14ac:dyDescent="0.15">
      <c r="A29" s="187" t="str">
        <f>IF(貼り付け!M11="","",貼り付け!M11)</f>
        <v/>
      </c>
      <c r="B29" s="188"/>
      <c r="C29" s="189" t="str">
        <f>IF(貼り付け!R11="","",貼り付け!R11)</f>
        <v/>
      </c>
      <c r="D29" s="179"/>
      <c r="E29" s="180"/>
      <c r="F29" s="180"/>
      <c r="G29" s="180"/>
      <c r="H29" s="181"/>
      <c r="I29" s="179"/>
      <c r="J29" s="180"/>
      <c r="K29" s="185"/>
    </row>
    <row r="30" spans="1:14" ht="15" customHeight="1" x14ac:dyDescent="0.15">
      <c r="A30" s="191" t="str">
        <f>IF(貼り付け!N11="","",貼り付け!N11)</f>
        <v/>
      </c>
      <c r="B30" s="192"/>
      <c r="C30" s="190"/>
      <c r="D30" s="182"/>
      <c r="E30" s="183"/>
      <c r="F30" s="183"/>
      <c r="G30" s="183"/>
      <c r="H30" s="184"/>
      <c r="I30" s="182"/>
      <c r="J30" s="183"/>
      <c r="K30" s="186"/>
    </row>
    <row r="31" spans="1:14" ht="15" customHeight="1" x14ac:dyDescent="0.15">
      <c r="A31" s="187" t="str">
        <f>IF(貼り付け!M12="","",貼り付け!M12)</f>
        <v/>
      </c>
      <c r="B31" s="193"/>
      <c r="C31" s="189" t="str">
        <f>IF(貼り付け!R12="","",貼り付け!R12)</f>
        <v/>
      </c>
      <c r="D31" s="179"/>
      <c r="E31" s="180"/>
      <c r="F31" s="180"/>
      <c r="G31" s="180"/>
      <c r="H31" s="181"/>
      <c r="I31" s="179"/>
      <c r="J31" s="180"/>
      <c r="K31" s="185"/>
    </row>
    <row r="32" spans="1:14" ht="15" customHeight="1" x14ac:dyDescent="0.15">
      <c r="A32" s="191" t="str">
        <f>IF(貼り付け!N12="","",貼り付け!N12)</f>
        <v/>
      </c>
      <c r="B32" s="192"/>
      <c r="C32" s="190"/>
      <c r="D32" s="182"/>
      <c r="E32" s="183"/>
      <c r="F32" s="183"/>
      <c r="G32" s="183"/>
      <c r="H32" s="184"/>
      <c r="I32" s="182"/>
      <c r="J32" s="183"/>
      <c r="K32" s="186"/>
    </row>
    <row r="33" spans="1:11" ht="15" customHeight="1" x14ac:dyDescent="0.15">
      <c r="A33" s="187" t="str">
        <f>IF(貼り付け!M13="","",貼り付け!M13)</f>
        <v/>
      </c>
      <c r="B33" s="193"/>
      <c r="C33" s="189" t="str">
        <f>IF(貼り付け!R13="","",貼り付け!R13)</f>
        <v/>
      </c>
      <c r="D33" s="179"/>
      <c r="E33" s="180"/>
      <c r="F33" s="180"/>
      <c r="G33" s="180"/>
      <c r="H33" s="181"/>
      <c r="I33" s="179"/>
      <c r="J33" s="180"/>
      <c r="K33" s="185"/>
    </row>
    <row r="34" spans="1:11" ht="15" customHeight="1" x14ac:dyDescent="0.15">
      <c r="A34" s="191" t="str">
        <f>IF(貼り付け!N13="","",貼り付け!N13)</f>
        <v/>
      </c>
      <c r="B34" s="192"/>
      <c r="C34" s="190"/>
      <c r="D34" s="182"/>
      <c r="E34" s="183"/>
      <c r="F34" s="183"/>
      <c r="G34" s="183"/>
      <c r="H34" s="184"/>
      <c r="I34" s="182"/>
      <c r="J34" s="183"/>
      <c r="K34" s="186"/>
    </row>
    <row r="35" spans="1:11" ht="15" customHeight="1" x14ac:dyDescent="0.15">
      <c r="A35" s="187" t="str">
        <f>IF(貼り付け!M14="","",貼り付け!M14)</f>
        <v/>
      </c>
      <c r="B35" s="193"/>
      <c r="C35" s="189" t="str">
        <f>IF(貼り付け!R14="","",貼り付け!R14)</f>
        <v/>
      </c>
      <c r="D35" s="179"/>
      <c r="E35" s="180"/>
      <c r="F35" s="180"/>
      <c r="G35" s="180"/>
      <c r="H35" s="181"/>
      <c r="I35" s="179"/>
      <c r="J35" s="180"/>
      <c r="K35" s="185"/>
    </row>
    <row r="36" spans="1:11" ht="15" customHeight="1" thickBot="1" x14ac:dyDescent="0.2">
      <c r="A36" s="191" t="str">
        <f>IF(貼り付け!N14="","",貼り付け!N14)</f>
        <v/>
      </c>
      <c r="B36" s="192"/>
      <c r="C36" s="190"/>
      <c r="D36" s="182"/>
      <c r="E36" s="183"/>
      <c r="F36" s="183"/>
      <c r="G36" s="183"/>
      <c r="H36" s="184"/>
      <c r="I36" s="182"/>
      <c r="J36" s="183"/>
      <c r="K36" s="186"/>
    </row>
    <row r="37" spans="1:11" ht="30" customHeight="1" thickBot="1" x14ac:dyDescent="0.2">
      <c r="A37" s="3" t="s">
        <v>64</v>
      </c>
      <c r="B37" s="163">
        <f>SUM(C13:C36)</f>
        <v>3</v>
      </c>
      <c r="C37" s="164"/>
      <c r="D37" s="165" t="s">
        <v>66</v>
      </c>
      <c r="E37" s="166"/>
      <c r="F37" s="165"/>
      <c r="G37" s="167"/>
      <c r="H37" s="167"/>
      <c r="I37" s="167"/>
      <c r="J37" s="167"/>
      <c r="K37" s="168"/>
    </row>
    <row r="38" spans="1:11" ht="13.5" customHeight="1" x14ac:dyDescent="0.15">
      <c r="D38" s="169" t="s">
        <v>2</v>
      </c>
      <c r="E38" s="170"/>
      <c r="F38" s="173">
        <f>B5</f>
        <v>20170804</v>
      </c>
      <c r="G38" s="174"/>
      <c r="H38" s="174"/>
      <c r="I38" s="174"/>
      <c r="J38" s="174"/>
      <c r="K38" s="175"/>
    </row>
    <row r="39" spans="1:11" ht="13.5" customHeight="1" x14ac:dyDescent="0.15">
      <c r="D39" s="171"/>
      <c r="E39" s="172"/>
      <c r="F39" s="176"/>
      <c r="G39" s="177"/>
      <c r="H39" s="177"/>
      <c r="I39" s="177"/>
      <c r="J39" s="177"/>
      <c r="K39" s="178"/>
    </row>
    <row r="40" spans="1:11" ht="23.25" customHeight="1" x14ac:dyDescent="0.15"/>
  </sheetData>
  <mergeCells count="90">
    <mergeCell ref="A1:K1"/>
    <mergeCell ref="B3:C3"/>
    <mergeCell ref="D3:E3"/>
    <mergeCell ref="F3:K3"/>
    <mergeCell ref="B7:C7"/>
    <mergeCell ref="B2:C2"/>
    <mergeCell ref="D2:E2"/>
    <mergeCell ref="F2:K2"/>
    <mergeCell ref="B4:C4"/>
    <mergeCell ref="D4:K4"/>
    <mergeCell ref="B5:C5"/>
    <mergeCell ref="D5:E5"/>
    <mergeCell ref="F5:K5"/>
    <mergeCell ref="C6:K6"/>
    <mergeCell ref="A13:B13"/>
    <mergeCell ref="C13:C14"/>
    <mergeCell ref="A14:B14"/>
    <mergeCell ref="I13:K14"/>
    <mergeCell ref="J7:K7"/>
    <mergeCell ref="E7:H7"/>
    <mergeCell ref="B9:E9"/>
    <mergeCell ref="I9:K9"/>
    <mergeCell ref="E11:K11"/>
    <mergeCell ref="A12:B12"/>
    <mergeCell ref="D12:H12"/>
    <mergeCell ref="I12:K12"/>
    <mergeCell ref="A9:A10"/>
    <mergeCell ref="G10:K10"/>
    <mergeCell ref="D13:H14"/>
    <mergeCell ref="B10:E10"/>
    <mergeCell ref="A15:B15"/>
    <mergeCell ref="C15:C16"/>
    <mergeCell ref="A16:B16"/>
    <mergeCell ref="C23:C24"/>
    <mergeCell ref="A24:B24"/>
    <mergeCell ref="A17:B17"/>
    <mergeCell ref="C17:C18"/>
    <mergeCell ref="A18:B18"/>
    <mergeCell ref="A19:B19"/>
    <mergeCell ref="C19:C20"/>
    <mergeCell ref="A20:B20"/>
    <mergeCell ref="A21:B21"/>
    <mergeCell ref="C21:C22"/>
    <mergeCell ref="A22:B22"/>
    <mergeCell ref="A23:B23"/>
    <mergeCell ref="A35:B35"/>
    <mergeCell ref="C35:C36"/>
    <mergeCell ref="A36:B36"/>
    <mergeCell ref="A29:B29"/>
    <mergeCell ref="C29:C30"/>
    <mergeCell ref="A30:B30"/>
    <mergeCell ref="A31:B31"/>
    <mergeCell ref="C31:C32"/>
    <mergeCell ref="A32:B32"/>
    <mergeCell ref="A33:B33"/>
    <mergeCell ref="C33:C34"/>
    <mergeCell ref="A34:B34"/>
    <mergeCell ref="A25:B25"/>
    <mergeCell ref="C25:C26"/>
    <mergeCell ref="A26:B26"/>
    <mergeCell ref="A27:B27"/>
    <mergeCell ref="C27:C28"/>
    <mergeCell ref="A28:B28"/>
    <mergeCell ref="D15:H16"/>
    <mergeCell ref="D17:H18"/>
    <mergeCell ref="D29:H30"/>
    <mergeCell ref="I15:K16"/>
    <mergeCell ref="I17:K18"/>
    <mergeCell ref="D25:H26"/>
    <mergeCell ref="D35:H36"/>
    <mergeCell ref="I19:K20"/>
    <mergeCell ref="I21:K22"/>
    <mergeCell ref="I23:K24"/>
    <mergeCell ref="I25:K26"/>
    <mergeCell ref="I27:K28"/>
    <mergeCell ref="I29:K30"/>
    <mergeCell ref="I31:K32"/>
    <mergeCell ref="I33:K34"/>
    <mergeCell ref="I35:K36"/>
    <mergeCell ref="D19:H20"/>
    <mergeCell ref="D21:H22"/>
    <mergeCell ref="D23:H24"/>
    <mergeCell ref="D27:H28"/>
    <mergeCell ref="D31:H32"/>
    <mergeCell ref="D33:H34"/>
    <mergeCell ref="B37:C37"/>
    <mergeCell ref="D37:E37"/>
    <mergeCell ref="F37:K37"/>
    <mergeCell ref="D38:E39"/>
    <mergeCell ref="F38:K39"/>
  </mergeCells>
  <phoneticPr fontId="1"/>
  <pageMargins left="0.78740157480314965" right="0.78740157480314965" top="0.98425196850393704" bottom="0.65" header="0.51181102362204722" footer="0.51181102362204722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80"/>
  <sheetViews>
    <sheetView zoomScaleNormal="100" workbookViewId="0">
      <selection activeCell="B3" sqref="B3:C3"/>
    </sheetView>
  </sheetViews>
  <sheetFormatPr defaultRowHeight="13.5" x14ac:dyDescent="0.15"/>
  <cols>
    <col min="1" max="1" width="11.625" customWidth="1"/>
    <col min="2" max="2" width="22.625" customWidth="1"/>
    <col min="3" max="3" width="7.5" customWidth="1"/>
    <col min="4" max="5" width="8.625" customWidth="1"/>
    <col min="6" max="6" width="5.375" customWidth="1"/>
    <col min="7" max="7" width="4.875" customWidth="1"/>
    <col min="8" max="8" width="3.25" customWidth="1"/>
    <col min="9" max="9" width="4.125" customWidth="1"/>
    <col min="10" max="10" width="2.375" customWidth="1"/>
    <col min="11" max="11" width="4.125" customWidth="1"/>
    <col min="13" max="13" width="18.75" customWidth="1"/>
  </cols>
  <sheetData>
    <row r="1" spans="1:15" ht="20.100000000000001" customHeight="1" thickBot="1" x14ac:dyDescent="0.2">
      <c r="A1" s="221" t="s">
        <v>67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2" spans="1:15" ht="30" customHeight="1" x14ac:dyDescent="0.15">
      <c r="A2" s="41" t="s">
        <v>4</v>
      </c>
      <c r="B2" s="231">
        <f>貼り付け!B3</f>
        <v>20170802</v>
      </c>
      <c r="C2" s="262"/>
      <c r="D2" s="263" t="s">
        <v>3</v>
      </c>
      <c r="E2" s="211"/>
      <c r="F2" s="234" t="str">
        <f>貼り付け!A3</f>
        <v>J708000739</v>
      </c>
      <c r="G2" s="235"/>
      <c r="H2" s="235"/>
      <c r="I2" s="235"/>
      <c r="J2" s="235"/>
      <c r="K2" s="236"/>
    </row>
    <row r="3" spans="1:15" ht="30" customHeight="1" x14ac:dyDescent="0.15">
      <c r="A3" s="20" t="s">
        <v>62</v>
      </c>
      <c r="B3" s="237" t="str">
        <f>IF(ISNA(VLOOKUP(貼り付け!G3,担当者,4,FALSE)),"",VLOOKUP(貼り付け!G3,担当者,4,FALSE))</f>
        <v>水野</v>
      </c>
      <c r="C3" s="259"/>
      <c r="D3" s="242" t="s">
        <v>63</v>
      </c>
      <c r="E3" s="260"/>
      <c r="F3" s="222"/>
      <c r="G3" s="222"/>
      <c r="H3" s="222"/>
      <c r="I3" s="222"/>
      <c r="J3" s="222"/>
      <c r="K3" s="261"/>
    </row>
    <row r="4" spans="1:15" ht="30" customHeight="1" x14ac:dyDescent="0.15">
      <c r="A4" s="20" t="s">
        <v>1</v>
      </c>
      <c r="B4" s="237" t="str">
        <f>貼り付け!G3</f>
        <v>PHT01</v>
      </c>
      <c r="C4" s="238"/>
      <c r="D4" s="237" t="str">
        <f>IF(ISNA(VLOOKUP(B4,納入先名,2,FALSE)),"",VLOOKUP(B4,納入先名,2,FALSE))</f>
        <v>フィリピンタミヤ</v>
      </c>
      <c r="E4" s="264"/>
      <c r="F4" s="264"/>
      <c r="G4" s="264"/>
      <c r="H4" s="264"/>
      <c r="I4" s="264"/>
      <c r="J4" s="264"/>
      <c r="K4" s="265"/>
    </row>
    <row r="5" spans="1:15" ht="30" customHeight="1" x14ac:dyDescent="0.15">
      <c r="A5" s="20" t="s">
        <v>2</v>
      </c>
      <c r="B5" s="241">
        <f>貼り付け!P3</f>
        <v>20170804</v>
      </c>
      <c r="C5" s="238"/>
      <c r="D5" s="22" t="s">
        <v>58</v>
      </c>
      <c r="E5" s="266" t="str">
        <f>貼り付け!S3</f>
        <v>8/7納期</v>
      </c>
      <c r="F5" s="267"/>
      <c r="G5" s="267"/>
      <c r="H5" s="267"/>
      <c r="I5" s="267"/>
      <c r="J5" s="267"/>
      <c r="K5" s="268"/>
    </row>
    <row r="6" spans="1:15" ht="30" customHeight="1" x14ac:dyDescent="0.15">
      <c r="A6" s="20" t="s">
        <v>60</v>
      </c>
      <c r="B6" s="98" t="str">
        <f>貼り付け!C3</f>
        <v>タミヤ様分</v>
      </c>
      <c r="C6" s="246" t="str">
        <f>IF(ISNA(VLOOKUP(B4,納入先名,8,FALSE)),"",VLOOKUP(B4,納入先名,8,FALSE))</f>
        <v>タミヤ様分</v>
      </c>
      <c r="D6" s="246"/>
      <c r="E6" s="246"/>
      <c r="F6" s="246"/>
      <c r="G6" s="246"/>
      <c r="H6" s="246"/>
      <c r="I6" s="246"/>
      <c r="J6" s="246"/>
      <c r="K6" s="247"/>
      <c r="M6" s="30"/>
    </row>
    <row r="7" spans="1:15" ht="30" customHeight="1" x14ac:dyDescent="0.15">
      <c r="A7" s="20" t="s">
        <v>5</v>
      </c>
      <c r="B7" s="237" t="str">
        <f>貼り付け!C3</f>
        <v>タミヤ様分</v>
      </c>
      <c r="C7" s="259"/>
      <c r="D7" s="22" t="s">
        <v>59</v>
      </c>
      <c r="E7" s="269" t="str">
        <f>貼り付け!E3</f>
        <v>伊坂化成株式会社　藤枝</v>
      </c>
      <c r="F7" s="270"/>
      <c r="G7" s="270"/>
      <c r="H7" s="270"/>
      <c r="I7" s="120"/>
      <c r="J7" s="75" t="s">
        <v>610</v>
      </c>
      <c r="K7" s="76"/>
      <c r="O7" s="30"/>
    </row>
    <row r="8" spans="1:15" ht="30" customHeight="1" x14ac:dyDescent="0.15">
      <c r="A8" s="20" t="s">
        <v>8</v>
      </c>
      <c r="B8" s="68" t="str">
        <f>貼り付け!H3&amp;"  "&amp;貼り付け!I3</f>
        <v xml:space="preserve">アオキトランス㈱興津ターミナル事務所  </v>
      </c>
      <c r="C8" s="69"/>
      <c r="D8" s="69"/>
      <c r="E8" s="69"/>
      <c r="F8" s="69"/>
      <c r="G8" s="69"/>
      <c r="H8" s="69"/>
      <c r="I8" s="69"/>
      <c r="J8" s="69"/>
      <c r="K8" s="70"/>
    </row>
    <row r="9" spans="1:15" ht="30" customHeight="1" x14ac:dyDescent="0.15">
      <c r="A9" s="214" t="s">
        <v>9</v>
      </c>
      <c r="B9" s="225" t="str">
        <f>貼り付け!J3</f>
        <v>静岡市清水区興津清見寺１３７５－１６</v>
      </c>
      <c r="C9" s="226"/>
      <c r="D9" s="227"/>
      <c r="E9" s="256"/>
      <c r="F9" s="52" t="s">
        <v>141</v>
      </c>
      <c r="G9" s="18">
        <f>IF(ISNA(VLOOKUP(B4,納入先名,6,FALSE)),"",VLOOKUP(B4,納入先名,6,FALSE))</f>
        <v>424</v>
      </c>
      <c r="H9" s="18" t="s">
        <v>142</v>
      </c>
      <c r="I9" s="257" t="str">
        <f>IF(ISNA(VLOOKUP(B4,納入先名,7,FALSE)),"",VLOOKUP(B4,納入先名,7,FALSE))</f>
        <v>0206</v>
      </c>
      <c r="J9" s="257"/>
      <c r="K9" s="258"/>
    </row>
    <row r="10" spans="1:15" ht="30" customHeight="1" thickBot="1" x14ac:dyDescent="0.2">
      <c r="A10" s="255"/>
      <c r="B10" s="218" t="str">
        <f>IF(貼り付け!K3="","",貼り付け!K3)</f>
        <v/>
      </c>
      <c r="C10" s="219"/>
      <c r="D10" s="219"/>
      <c r="E10" s="220"/>
      <c r="F10" s="53" t="s">
        <v>143</v>
      </c>
      <c r="G10" s="216" t="str">
        <f>貼り付け!L3</f>
        <v>054-369-6666</v>
      </c>
      <c r="H10" s="216"/>
      <c r="I10" s="216"/>
      <c r="J10" s="216"/>
      <c r="K10" s="217"/>
    </row>
    <row r="11" spans="1:15" ht="21" customHeight="1" thickBot="1" x14ac:dyDescent="0.2">
      <c r="A11" s="7"/>
      <c r="B11" s="7"/>
      <c r="C11" s="7"/>
      <c r="D11" s="7"/>
      <c r="E11" s="282" t="str">
        <f>IF(D4=M66,M67,"")</f>
        <v/>
      </c>
      <c r="F11" s="167"/>
      <c r="G11" s="167"/>
      <c r="H11" s="167"/>
      <c r="I11" s="167"/>
      <c r="J11" s="167"/>
      <c r="K11" s="167"/>
      <c r="L11" s="33"/>
    </row>
    <row r="12" spans="1:15" ht="30" customHeight="1" x14ac:dyDescent="0.15">
      <c r="A12" s="283" t="s">
        <v>6</v>
      </c>
      <c r="B12" s="284"/>
      <c r="C12" s="42" t="s">
        <v>7</v>
      </c>
      <c r="D12" s="263" t="s">
        <v>10</v>
      </c>
      <c r="E12" s="285"/>
      <c r="F12" s="285"/>
      <c r="G12" s="210"/>
      <c r="H12" s="211"/>
      <c r="I12" s="263" t="s">
        <v>320</v>
      </c>
      <c r="J12" s="286"/>
      <c r="K12" s="287"/>
      <c r="L12" s="34"/>
    </row>
    <row r="13" spans="1:15" ht="15" customHeight="1" x14ac:dyDescent="0.15">
      <c r="A13" s="187" t="str">
        <f>IF(貼り付け!M3="","",貼り付け!M3)</f>
        <v>S1-FPA3-U-EX</v>
      </c>
      <c r="B13" s="193"/>
      <c r="C13" s="189">
        <f>IF(貼り付け!R3="","",貼り付け!R3)</f>
        <v>3</v>
      </c>
      <c r="D13" s="179"/>
      <c r="E13" s="180"/>
      <c r="F13" s="180"/>
      <c r="G13" s="180"/>
      <c r="H13" s="114"/>
      <c r="I13" s="179">
        <f>IF(C13="","",1)</f>
        <v>1</v>
      </c>
      <c r="J13" s="251" t="s">
        <v>625</v>
      </c>
      <c r="K13" s="185">
        <f>IF(C13=1,"",C13)</f>
        <v>3</v>
      </c>
      <c r="L13" s="30"/>
    </row>
    <row r="14" spans="1:15" ht="15" customHeight="1" x14ac:dyDescent="0.15">
      <c r="A14" s="191" t="str">
        <f>IF(貼り付け!N3="","",貼り付け!N3)</f>
        <v>ＦＰＡ－３ (UN/16KG)</v>
      </c>
      <c r="B14" s="253"/>
      <c r="C14" s="190"/>
      <c r="D14" s="182"/>
      <c r="E14" s="183"/>
      <c r="F14" s="183"/>
      <c r="G14" s="183"/>
      <c r="H14" s="115"/>
      <c r="I14" s="182"/>
      <c r="J14" s="252"/>
      <c r="K14" s="186"/>
      <c r="L14" s="30"/>
    </row>
    <row r="15" spans="1:15" ht="15" customHeight="1" x14ac:dyDescent="0.15">
      <c r="A15" s="187" t="str">
        <f>IF(貼り付け!M4="","",貼り付け!M4)</f>
        <v/>
      </c>
      <c r="B15" s="193"/>
      <c r="C15" s="189" t="str">
        <f>IF(貼り付け!R4="","",貼り付け!R4)</f>
        <v/>
      </c>
      <c r="D15" s="179"/>
      <c r="E15" s="180"/>
      <c r="F15" s="180"/>
      <c r="G15" s="180"/>
      <c r="H15" s="114"/>
      <c r="I15" s="179" t="str">
        <f t="shared" ref="I15" si="0">IF(C15="","",1)</f>
        <v/>
      </c>
      <c r="J15" s="251" t="s">
        <v>625</v>
      </c>
      <c r="K15" s="185" t="str">
        <f t="shared" ref="K15" si="1">IF(C15=1,"",C15)</f>
        <v/>
      </c>
      <c r="L15" s="30"/>
    </row>
    <row r="16" spans="1:15" ht="15" customHeight="1" x14ac:dyDescent="0.15">
      <c r="A16" s="196" t="str">
        <f>IF(貼り付け!N4="","",貼り付け!N4)</f>
        <v/>
      </c>
      <c r="B16" s="254"/>
      <c r="C16" s="190"/>
      <c r="D16" s="182"/>
      <c r="E16" s="183"/>
      <c r="F16" s="183"/>
      <c r="G16" s="183"/>
      <c r="H16" s="115"/>
      <c r="I16" s="182"/>
      <c r="J16" s="252"/>
      <c r="K16" s="186"/>
      <c r="L16" s="30"/>
    </row>
    <row r="17" spans="1:12" ht="15" customHeight="1" x14ac:dyDescent="0.15">
      <c r="A17" s="187" t="str">
        <f>IF(貼り付け!M5="","",貼り付け!M5)</f>
        <v/>
      </c>
      <c r="B17" s="193"/>
      <c r="C17" s="189" t="str">
        <f>IF(貼り付け!R5="","",貼り付け!R5)</f>
        <v/>
      </c>
      <c r="D17" s="179"/>
      <c r="E17" s="180"/>
      <c r="F17" s="180"/>
      <c r="G17" s="180"/>
      <c r="H17" s="114"/>
      <c r="I17" s="179" t="str">
        <f t="shared" ref="I17" si="2">IF(C17="","",1)</f>
        <v/>
      </c>
      <c r="J17" s="251" t="s">
        <v>625</v>
      </c>
      <c r="K17" s="185" t="str">
        <f t="shared" ref="K17" si="3">IF(C17=1,"",C17)</f>
        <v/>
      </c>
      <c r="L17" s="30"/>
    </row>
    <row r="18" spans="1:12" ht="15" customHeight="1" x14ac:dyDescent="0.15">
      <c r="A18" s="196" t="str">
        <f>IF(貼り付け!N5="","",貼り付け!N5)</f>
        <v/>
      </c>
      <c r="B18" s="254"/>
      <c r="C18" s="190"/>
      <c r="D18" s="182"/>
      <c r="E18" s="183"/>
      <c r="F18" s="183"/>
      <c r="G18" s="183"/>
      <c r="H18" s="115"/>
      <c r="I18" s="182"/>
      <c r="J18" s="252"/>
      <c r="K18" s="186"/>
      <c r="L18" s="30"/>
    </row>
    <row r="19" spans="1:12" ht="15" customHeight="1" x14ac:dyDescent="0.15">
      <c r="A19" s="187" t="str">
        <f>IF(貼り付け!M6="","",貼り付け!M6)</f>
        <v/>
      </c>
      <c r="B19" s="193"/>
      <c r="C19" s="189" t="str">
        <f>IF(貼り付け!R6="","",貼り付け!R6)</f>
        <v/>
      </c>
      <c r="D19" s="179"/>
      <c r="E19" s="180"/>
      <c r="F19" s="180"/>
      <c r="G19" s="180"/>
      <c r="H19" s="114"/>
      <c r="I19" s="179" t="str">
        <f t="shared" ref="I19" si="4">IF(C19="","",1)</f>
        <v/>
      </c>
      <c r="J19" s="251" t="s">
        <v>625</v>
      </c>
      <c r="K19" s="185" t="str">
        <f t="shared" ref="K19" si="5">IF(C19=1,"",C19)</f>
        <v/>
      </c>
      <c r="L19" s="30"/>
    </row>
    <row r="20" spans="1:12" ht="15" customHeight="1" x14ac:dyDescent="0.15">
      <c r="A20" s="191" t="str">
        <f>IF(貼り付け!N6="","",貼り付け!N6)</f>
        <v/>
      </c>
      <c r="B20" s="253"/>
      <c r="C20" s="190"/>
      <c r="D20" s="182"/>
      <c r="E20" s="183"/>
      <c r="F20" s="183"/>
      <c r="G20" s="183"/>
      <c r="H20" s="115"/>
      <c r="I20" s="182"/>
      <c r="J20" s="252"/>
      <c r="K20" s="186"/>
      <c r="L20" s="30"/>
    </row>
    <row r="21" spans="1:12" ht="15" customHeight="1" x14ac:dyDescent="0.15">
      <c r="A21" s="187" t="str">
        <f>IF(貼り付け!M7="","",貼り付け!M7)</f>
        <v/>
      </c>
      <c r="B21" s="193"/>
      <c r="C21" s="189" t="str">
        <f>IF(貼り付け!R7="","",貼り付け!R7)</f>
        <v/>
      </c>
      <c r="D21" s="179"/>
      <c r="E21" s="180"/>
      <c r="F21" s="180"/>
      <c r="G21" s="180"/>
      <c r="H21" s="114"/>
      <c r="I21" s="179" t="str">
        <f t="shared" ref="I21" si="6">IF(C21="","",1)</f>
        <v/>
      </c>
      <c r="J21" s="251" t="s">
        <v>625</v>
      </c>
      <c r="K21" s="185" t="str">
        <f t="shared" ref="K21" si="7">IF(C21=1,"",C21)</f>
        <v/>
      </c>
      <c r="L21" s="30"/>
    </row>
    <row r="22" spans="1:12" ht="15" customHeight="1" x14ac:dyDescent="0.15">
      <c r="A22" s="191" t="str">
        <f>IF(貼り付け!N7="","",貼り付け!N7)</f>
        <v/>
      </c>
      <c r="B22" s="253"/>
      <c r="C22" s="190"/>
      <c r="D22" s="182"/>
      <c r="E22" s="183"/>
      <c r="F22" s="183"/>
      <c r="G22" s="183"/>
      <c r="H22" s="115"/>
      <c r="I22" s="182"/>
      <c r="J22" s="252"/>
      <c r="K22" s="186"/>
      <c r="L22" s="30"/>
    </row>
    <row r="23" spans="1:12" ht="15" customHeight="1" x14ac:dyDescent="0.15">
      <c r="A23" s="187" t="str">
        <f>IF(貼り付け!M8="","",貼り付け!M8)</f>
        <v/>
      </c>
      <c r="B23" s="193"/>
      <c r="C23" s="189" t="str">
        <f>IF(貼り付け!R8="","",貼り付け!R8)</f>
        <v/>
      </c>
      <c r="D23" s="179"/>
      <c r="E23" s="180"/>
      <c r="F23" s="180"/>
      <c r="G23" s="180"/>
      <c r="H23" s="114"/>
      <c r="I23" s="179" t="str">
        <f t="shared" ref="I23" si="8">IF(C23="","",1)</f>
        <v/>
      </c>
      <c r="J23" s="251" t="s">
        <v>625</v>
      </c>
      <c r="K23" s="185" t="str">
        <f t="shared" ref="K23" si="9">IF(C23=1,"",C23)</f>
        <v/>
      </c>
      <c r="L23" s="30"/>
    </row>
    <row r="24" spans="1:12" ht="15" customHeight="1" x14ac:dyDescent="0.15">
      <c r="A24" s="191" t="str">
        <f>IF(貼り付け!N8="","",貼り付け!N8)</f>
        <v/>
      </c>
      <c r="B24" s="253"/>
      <c r="C24" s="190"/>
      <c r="D24" s="182"/>
      <c r="E24" s="183"/>
      <c r="F24" s="183"/>
      <c r="G24" s="183"/>
      <c r="H24" s="115"/>
      <c r="I24" s="182"/>
      <c r="J24" s="252"/>
      <c r="K24" s="186"/>
      <c r="L24" s="30"/>
    </row>
    <row r="25" spans="1:12" ht="15" customHeight="1" x14ac:dyDescent="0.15">
      <c r="A25" s="187" t="str">
        <f>IF(貼り付け!M9="","",貼り付け!M9)</f>
        <v/>
      </c>
      <c r="B25" s="193"/>
      <c r="C25" s="189" t="str">
        <f>IF(貼り付け!R9="","",貼り付け!R9)</f>
        <v/>
      </c>
      <c r="D25" s="179"/>
      <c r="E25" s="180"/>
      <c r="F25" s="180"/>
      <c r="G25" s="180"/>
      <c r="H25" s="114"/>
      <c r="I25" s="179" t="str">
        <f t="shared" ref="I25" si="10">IF(C25="","",1)</f>
        <v/>
      </c>
      <c r="J25" s="251" t="s">
        <v>625</v>
      </c>
      <c r="K25" s="185" t="str">
        <f t="shared" ref="K25" si="11">IF(C25=1,"",C25)</f>
        <v/>
      </c>
      <c r="L25" s="30"/>
    </row>
    <row r="26" spans="1:12" ht="15" customHeight="1" x14ac:dyDescent="0.15">
      <c r="A26" s="191" t="str">
        <f>IF(貼り付け!N9="","",貼り付け!N9)</f>
        <v/>
      </c>
      <c r="B26" s="253"/>
      <c r="C26" s="190"/>
      <c r="D26" s="182"/>
      <c r="E26" s="183"/>
      <c r="F26" s="183"/>
      <c r="G26" s="183"/>
      <c r="H26" s="115"/>
      <c r="I26" s="182"/>
      <c r="J26" s="252"/>
      <c r="K26" s="186"/>
      <c r="L26" s="30"/>
    </row>
    <row r="27" spans="1:12" ht="15" customHeight="1" x14ac:dyDescent="0.15">
      <c r="A27" s="187" t="str">
        <f>IF(貼り付け!M10="","",貼り付け!M10)</f>
        <v/>
      </c>
      <c r="B27" s="193"/>
      <c r="C27" s="189" t="str">
        <f>IF(貼り付け!R10="","",貼り付け!R10)</f>
        <v/>
      </c>
      <c r="D27" s="179"/>
      <c r="E27" s="180"/>
      <c r="F27" s="180"/>
      <c r="G27" s="180"/>
      <c r="H27" s="114"/>
      <c r="I27" s="179" t="str">
        <f t="shared" ref="I27" si="12">IF(C27="","",1)</f>
        <v/>
      </c>
      <c r="J27" s="251" t="s">
        <v>625</v>
      </c>
      <c r="K27" s="185" t="str">
        <f t="shared" ref="K27" si="13">IF(C27=1,"",C27)</f>
        <v/>
      </c>
      <c r="L27" s="30"/>
    </row>
    <row r="28" spans="1:12" ht="15" customHeight="1" x14ac:dyDescent="0.15">
      <c r="A28" s="191" t="str">
        <f>IF(貼り付け!N10="","",貼り付け!N10)</f>
        <v/>
      </c>
      <c r="B28" s="253"/>
      <c r="C28" s="190"/>
      <c r="D28" s="182"/>
      <c r="E28" s="183"/>
      <c r="F28" s="183"/>
      <c r="G28" s="183"/>
      <c r="H28" s="115"/>
      <c r="I28" s="182"/>
      <c r="J28" s="252"/>
      <c r="K28" s="186"/>
      <c r="L28" s="30"/>
    </row>
    <row r="29" spans="1:12" ht="15" customHeight="1" x14ac:dyDescent="0.15">
      <c r="A29" s="187" t="str">
        <f>IF(貼り付け!M11="","",貼り付け!M11)</f>
        <v/>
      </c>
      <c r="B29" s="193"/>
      <c r="C29" s="189" t="str">
        <f>IF(貼り付け!R11="","",貼り付け!R11)</f>
        <v/>
      </c>
      <c r="D29" s="179"/>
      <c r="E29" s="180"/>
      <c r="F29" s="180"/>
      <c r="G29" s="180"/>
      <c r="H29" s="114"/>
      <c r="I29" s="179" t="str">
        <f t="shared" ref="I29" si="14">IF(C29="","",1)</f>
        <v/>
      </c>
      <c r="J29" s="251" t="s">
        <v>625</v>
      </c>
      <c r="K29" s="185" t="str">
        <f t="shared" ref="K29" si="15">IF(C29=1,"",C29)</f>
        <v/>
      </c>
      <c r="L29" s="30"/>
    </row>
    <row r="30" spans="1:12" ht="15" customHeight="1" x14ac:dyDescent="0.15">
      <c r="A30" s="191" t="str">
        <f>IF(貼り付け!N11="","",貼り付け!N11)</f>
        <v/>
      </c>
      <c r="B30" s="253"/>
      <c r="C30" s="190"/>
      <c r="D30" s="182"/>
      <c r="E30" s="183"/>
      <c r="F30" s="183"/>
      <c r="G30" s="183"/>
      <c r="H30" s="115"/>
      <c r="I30" s="182"/>
      <c r="J30" s="252"/>
      <c r="K30" s="186"/>
      <c r="L30" s="30"/>
    </row>
    <row r="31" spans="1:12" ht="15" customHeight="1" x14ac:dyDescent="0.15">
      <c r="A31" s="187" t="str">
        <f>IF(貼り付け!M12="","",貼り付け!M12)</f>
        <v/>
      </c>
      <c r="B31" s="193"/>
      <c r="C31" s="189" t="str">
        <f>IF(貼り付け!R12="","",貼り付け!R12)</f>
        <v/>
      </c>
      <c r="D31" s="179"/>
      <c r="E31" s="180"/>
      <c r="F31" s="180"/>
      <c r="G31" s="180"/>
      <c r="H31" s="114"/>
      <c r="I31" s="179" t="str">
        <f t="shared" ref="I31" si="16">IF(C31="","",1)</f>
        <v/>
      </c>
      <c r="J31" s="251" t="s">
        <v>625</v>
      </c>
      <c r="K31" s="185" t="str">
        <f t="shared" ref="K31" si="17">IF(C31=1,"",C31)</f>
        <v/>
      </c>
      <c r="L31" s="30"/>
    </row>
    <row r="32" spans="1:12" ht="15" customHeight="1" x14ac:dyDescent="0.15">
      <c r="A32" s="191" t="str">
        <f>IF(貼り付け!N12="","",貼り付け!N12)</f>
        <v/>
      </c>
      <c r="B32" s="253"/>
      <c r="C32" s="190"/>
      <c r="D32" s="182"/>
      <c r="E32" s="183"/>
      <c r="F32" s="183"/>
      <c r="G32" s="183"/>
      <c r="H32" s="115"/>
      <c r="I32" s="182"/>
      <c r="J32" s="252"/>
      <c r="K32" s="186"/>
      <c r="L32" s="30"/>
    </row>
    <row r="33" spans="1:12" ht="15" customHeight="1" x14ac:dyDescent="0.15">
      <c r="A33" s="187" t="str">
        <f>IF(貼り付け!M13="","",貼り付け!M13)</f>
        <v/>
      </c>
      <c r="B33" s="193"/>
      <c r="C33" s="189" t="str">
        <f>IF(貼り付け!R13="","",貼り付け!R13)</f>
        <v/>
      </c>
      <c r="D33" s="179"/>
      <c r="E33" s="180"/>
      <c r="F33" s="180"/>
      <c r="G33" s="180"/>
      <c r="H33" s="114"/>
      <c r="I33" s="179" t="str">
        <f t="shared" ref="I33" si="18">IF(C33="","",1)</f>
        <v/>
      </c>
      <c r="J33" s="251" t="s">
        <v>625</v>
      </c>
      <c r="K33" s="185" t="str">
        <f t="shared" ref="K33" si="19">IF(C33=1,"",C33)</f>
        <v/>
      </c>
      <c r="L33" s="30"/>
    </row>
    <row r="34" spans="1:12" ht="15" customHeight="1" x14ac:dyDescent="0.15">
      <c r="A34" s="191" t="str">
        <f>IF(貼り付け!N13="","",貼り付け!N13)</f>
        <v/>
      </c>
      <c r="B34" s="253"/>
      <c r="C34" s="190"/>
      <c r="D34" s="182"/>
      <c r="E34" s="183"/>
      <c r="F34" s="183"/>
      <c r="G34" s="183"/>
      <c r="H34" s="115"/>
      <c r="I34" s="182"/>
      <c r="J34" s="252"/>
      <c r="K34" s="186"/>
      <c r="L34" s="30"/>
    </row>
    <row r="35" spans="1:12" ht="15" customHeight="1" x14ac:dyDescent="0.15">
      <c r="A35" s="187" t="str">
        <f>IF(貼り付け!M14="","",貼り付け!M14)</f>
        <v/>
      </c>
      <c r="B35" s="193"/>
      <c r="C35" s="189" t="str">
        <f>IF(貼り付け!R14="","",貼り付け!R14)</f>
        <v/>
      </c>
      <c r="D35" s="179"/>
      <c r="E35" s="180"/>
      <c r="F35" s="180"/>
      <c r="G35" s="180"/>
      <c r="H35" s="114"/>
      <c r="I35" s="179" t="str">
        <f t="shared" ref="I35" si="20">IF(C35="","",1)</f>
        <v/>
      </c>
      <c r="J35" s="251" t="s">
        <v>625</v>
      </c>
      <c r="K35" s="185" t="str">
        <f t="shared" ref="K35" si="21">IF(C35=1,"",C35)</f>
        <v/>
      </c>
      <c r="L35" s="30"/>
    </row>
    <row r="36" spans="1:12" ht="15" customHeight="1" thickBot="1" x14ac:dyDescent="0.2">
      <c r="A36" s="249" t="str">
        <f>IF(貼り付け!N14="","",貼り付け!N14)</f>
        <v/>
      </c>
      <c r="B36" s="250"/>
      <c r="C36" s="248"/>
      <c r="D36" s="182"/>
      <c r="E36" s="183"/>
      <c r="F36" s="183"/>
      <c r="G36" s="183"/>
      <c r="H36" s="116"/>
      <c r="I36" s="182"/>
      <c r="J36" s="252"/>
      <c r="K36" s="186"/>
      <c r="L36" s="30"/>
    </row>
    <row r="37" spans="1:12" ht="30" customHeight="1" thickBot="1" x14ac:dyDescent="0.2">
      <c r="A37" s="26" t="s">
        <v>64</v>
      </c>
      <c r="B37" s="163">
        <f>SUM(C13:C36)</f>
        <v>3</v>
      </c>
      <c r="C37" s="164"/>
      <c r="D37" s="271" t="s">
        <v>66</v>
      </c>
      <c r="E37" s="272"/>
      <c r="F37" s="273"/>
      <c r="G37" s="167"/>
      <c r="H37" s="167"/>
      <c r="I37" s="167"/>
      <c r="J37" s="167"/>
      <c r="K37" s="168"/>
    </row>
    <row r="38" spans="1:12" x14ac:dyDescent="0.15">
      <c r="D38" s="274" t="s">
        <v>2</v>
      </c>
      <c r="E38" s="275"/>
      <c r="F38" s="276">
        <f>B5</f>
        <v>20170804</v>
      </c>
      <c r="G38" s="277"/>
      <c r="H38" s="277"/>
      <c r="I38" s="277"/>
      <c r="J38" s="277"/>
      <c r="K38" s="278"/>
    </row>
    <row r="39" spans="1:12" x14ac:dyDescent="0.15">
      <c r="D39" s="171"/>
      <c r="E39" s="172"/>
      <c r="F39" s="279"/>
      <c r="G39" s="280"/>
      <c r="H39" s="280"/>
      <c r="I39" s="280"/>
      <c r="J39" s="280"/>
      <c r="K39" s="281"/>
    </row>
    <row r="41" spans="1:12" ht="14.25" x14ac:dyDescent="0.15">
      <c r="A41" s="51" t="s">
        <v>115</v>
      </c>
    </row>
    <row r="66" spans="13:14" x14ac:dyDescent="0.15">
      <c r="M66" t="s">
        <v>97</v>
      </c>
    </row>
    <row r="67" spans="13:14" ht="21.75" thickBot="1" x14ac:dyDescent="0.2">
      <c r="M67" s="36" t="s">
        <v>72</v>
      </c>
    </row>
    <row r="68" spans="13:14" ht="15" thickBot="1" x14ac:dyDescent="0.2">
      <c r="M68" s="82" t="s">
        <v>611</v>
      </c>
      <c r="N68" s="84" t="s">
        <v>612</v>
      </c>
    </row>
    <row r="69" spans="13:14" x14ac:dyDescent="0.15">
      <c r="M69" s="85" t="str">
        <f>IF(貼り付け!M3="","",貼り付け!M3)</f>
        <v>S1-FPA3-U-EX</v>
      </c>
    </row>
    <row r="70" spans="13:14" x14ac:dyDescent="0.15">
      <c r="M70" s="80" t="str">
        <f>IF(貼り付け!M4="","",貼り付け!M4)</f>
        <v/>
      </c>
    </row>
    <row r="71" spans="13:14" x14ac:dyDescent="0.15">
      <c r="M71" s="80" t="str">
        <f>IF(貼り付け!M5="","",貼り付け!M5)</f>
        <v/>
      </c>
    </row>
    <row r="72" spans="13:14" x14ac:dyDescent="0.15">
      <c r="M72" s="80" t="str">
        <f>IF(貼り付け!M6="","",貼り付け!M6)</f>
        <v/>
      </c>
    </row>
    <row r="73" spans="13:14" x14ac:dyDescent="0.15">
      <c r="M73" s="80" t="str">
        <f>IF(貼り付け!M7="","",貼り付け!M7)</f>
        <v/>
      </c>
    </row>
    <row r="74" spans="13:14" x14ac:dyDescent="0.15">
      <c r="M74" s="80" t="str">
        <f>IF(貼り付け!M8="","",貼り付け!M8)</f>
        <v/>
      </c>
    </row>
    <row r="75" spans="13:14" x14ac:dyDescent="0.15">
      <c r="M75" s="80" t="str">
        <f>IF(貼り付け!M9="","",貼り付け!M9)</f>
        <v/>
      </c>
    </row>
    <row r="76" spans="13:14" x14ac:dyDescent="0.15">
      <c r="M76" s="80" t="str">
        <f>IF(貼り付け!M10="","",貼り付け!M10)</f>
        <v/>
      </c>
    </row>
    <row r="77" spans="13:14" x14ac:dyDescent="0.15">
      <c r="M77" s="80" t="str">
        <f>IF(貼り付け!M11="","",貼り付け!M11)</f>
        <v/>
      </c>
    </row>
    <row r="78" spans="13:14" x14ac:dyDescent="0.15">
      <c r="M78" s="80" t="str">
        <f>IF(貼り付け!M12="","",貼り付け!M12)</f>
        <v/>
      </c>
    </row>
    <row r="79" spans="13:14" x14ac:dyDescent="0.15">
      <c r="M79" s="80" t="str">
        <f>IF(貼り付け!M13="","",貼り付け!M13)</f>
        <v/>
      </c>
    </row>
    <row r="80" spans="13:14" ht="14.25" thickBot="1" x14ac:dyDescent="0.2">
      <c r="M80" s="81" t="str">
        <f>IF(貼り付け!M14="","",貼り付け!M14)</f>
        <v/>
      </c>
    </row>
  </sheetData>
  <mergeCells count="112">
    <mergeCell ref="B37:C37"/>
    <mergeCell ref="D37:E37"/>
    <mergeCell ref="F37:K37"/>
    <mergeCell ref="D38:E39"/>
    <mergeCell ref="F38:K39"/>
    <mergeCell ref="E11:K11"/>
    <mergeCell ref="A12:B12"/>
    <mergeCell ref="D12:H12"/>
    <mergeCell ref="I12:K12"/>
    <mergeCell ref="A15:B15"/>
    <mergeCell ref="C15:C16"/>
    <mergeCell ref="A16:B16"/>
    <mergeCell ref="I15:I16"/>
    <mergeCell ref="J15:J16"/>
    <mergeCell ref="K15:K16"/>
    <mergeCell ref="A13:B13"/>
    <mergeCell ref="C13:C14"/>
    <mergeCell ref="A14:B14"/>
    <mergeCell ref="I13:I14"/>
    <mergeCell ref="J13:J14"/>
    <mergeCell ref="K13:K14"/>
    <mergeCell ref="A19:B19"/>
    <mergeCell ref="C19:C20"/>
    <mergeCell ref="A20:B20"/>
    <mergeCell ref="A9:A10"/>
    <mergeCell ref="B9:E9"/>
    <mergeCell ref="I9:K9"/>
    <mergeCell ref="B10:E10"/>
    <mergeCell ref="G10:K10"/>
    <mergeCell ref="B7:C7"/>
    <mergeCell ref="A1:K1"/>
    <mergeCell ref="B3:C3"/>
    <mergeCell ref="D3:E3"/>
    <mergeCell ref="F3:K3"/>
    <mergeCell ref="B2:C2"/>
    <mergeCell ref="D2:E2"/>
    <mergeCell ref="F2:K2"/>
    <mergeCell ref="B4:C4"/>
    <mergeCell ref="D4:K4"/>
    <mergeCell ref="B5:C5"/>
    <mergeCell ref="E5:K5"/>
    <mergeCell ref="C6:K6"/>
    <mergeCell ref="E7:H7"/>
    <mergeCell ref="I19:I20"/>
    <mergeCell ref="J19:J20"/>
    <mergeCell ref="K19:K20"/>
    <mergeCell ref="A17:B17"/>
    <mergeCell ref="C17:C18"/>
    <mergeCell ref="A18:B18"/>
    <mergeCell ref="I17:I18"/>
    <mergeCell ref="J17:J18"/>
    <mergeCell ref="K17:K18"/>
    <mergeCell ref="A23:B23"/>
    <mergeCell ref="C23:C24"/>
    <mergeCell ref="A24:B24"/>
    <mergeCell ref="I23:I24"/>
    <mergeCell ref="J23:J24"/>
    <mergeCell ref="K23:K24"/>
    <mergeCell ref="A21:B21"/>
    <mergeCell ref="C21:C22"/>
    <mergeCell ref="A22:B22"/>
    <mergeCell ref="I21:I22"/>
    <mergeCell ref="J21:J22"/>
    <mergeCell ref="K21:K22"/>
    <mergeCell ref="A27:B27"/>
    <mergeCell ref="C27:C28"/>
    <mergeCell ref="A28:B28"/>
    <mergeCell ref="I27:I28"/>
    <mergeCell ref="J27:J28"/>
    <mergeCell ref="K27:K28"/>
    <mergeCell ref="D27:G28"/>
    <mergeCell ref="A25:B25"/>
    <mergeCell ref="C25:C26"/>
    <mergeCell ref="A26:B26"/>
    <mergeCell ref="I25:I26"/>
    <mergeCell ref="J25:J26"/>
    <mergeCell ref="K25:K26"/>
    <mergeCell ref="I31:I32"/>
    <mergeCell ref="J31:J32"/>
    <mergeCell ref="K31:K32"/>
    <mergeCell ref="D31:G32"/>
    <mergeCell ref="A29:B29"/>
    <mergeCell ref="C29:C30"/>
    <mergeCell ref="A30:B30"/>
    <mergeCell ref="I29:I30"/>
    <mergeCell ref="J29:J30"/>
    <mergeCell ref="K29:K30"/>
    <mergeCell ref="D29:G30"/>
    <mergeCell ref="D35:G36"/>
    <mergeCell ref="A35:B35"/>
    <mergeCell ref="C35:C36"/>
    <mergeCell ref="A36:B36"/>
    <mergeCell ref="I35:I36"/>
    <mergeCell ref="J35:J36"/>
    <mergeCell ref="K35:K36"/>
    <mergeCell ref="D13:G14"/>
    <mergeCell ref="D15:G16"/>
    <mergeCell ref="D17:G18"/>
    <mergeCell ref="D19:G20"/>
    <mergeCell ref="D21:G22"/>
    <mergeCell ref="D23:G24"/>
    <mergeCell ref="D25:G26"/>
    <mergeCell ref="A33:B33"/>
    <mergeCell ref="C33:C34"/>
    <mergeCell ref="A34:B34"/>
    <mergeCell ref="I33:I34"/>
    <mergeCell ref="J33:J34"/>
    <mergeCell ref="K33:K34"/>
    <mergeCell ref="D33:G34"/>
    <mergeCell ref="A31:B31"/>
    <mergeCell ref="C31:C32"/>
    <mergeCell ref="A32:B32"/>
  </mergeCells>
  <phoneticPr fontId="1"/>
  <pageMargins left="0.78700000000000003" right="0.5" top="0.98399999999999999" bottom="0.98399999999999999" header="0.51200000000000001" footer="0.51200000000000001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41"/>
  <sheetViews>
    <sheetView workbookViewId="0">
      <selection activeCell="E7" sqref="E7:H7"/>
    </sheetView>
  </sheetViews>
  <sheetFormatPr defaultRowHeight="13.5" x14ac:dyDescent="0.15"/>
  <cols>
    <col min="1" max="1" width="12.25" customWidth="1"/>
    <col min="2" max="2" width="22.625" customWidth="1"/>
    <col min="3" max="3" width="8.5" customWidth="1"/>
    <col min="5" max="5" width="9.875" customWidth="1"/>
    <col min="6" max="6" width="5.375" customWidth="1"/>
    <col min="7" max="7" width="5.75" customWidth="1"/>
    <col min="8" max="8" width="4.125" customWidth="1"/>
    <col min="9" max="9" width="3.75" customWidth="1"/>
    <col min="10" max="10" width="2.375" customWidth="1"/>
    <col min="11" max="11" width="4.25" customWidth="1"/>
    <col min="13" max="13" width="18.75" customWidth="1"/>
  </cols>
  <sheetData>
    <row r="1" spans="1:13" ht="20.100000000000001" customHeight="1" thickBot="1" x14ac:dyDescent="0.2">
      <c r="A1" s="221" t="s">
        <v>67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2" spans="1:13" ht="30" customHeight="1" x14ac:dyDescent="0.15">
      <c r="A2" s="41" t="s">
        <v>4</v>
      </c>
      <c r="B2" s="4">
        <f>貼り付け!B3</f>
        <v>20170802</v>
      </c>
      <c r="C2" s="263" t="s">
        <v>3</v>
      </c>
      <c r="D2" s="300"/>
      <c r="E2" s="301" t="str">
        <f>貼り付け!A3</f>
        <v>J708000739</v>
      </c>
      <c r="F2" s="285"/>
      <c r="G2" s="285"/>
      <c r="H2" s="285"/>
      <c r="I2" s="285"/>
      <c r="J2" s="285"/>
      <c r="K2" s="302"/>
    </row>
    <row r="3" spans="1:13" ht="30" customHeight="1" x14ac:dyDescent="0.15">
      <c r="A3" s="20" t="s">
        <v>62</v>
      </c>
      <c r="B3" s="222" t="str">
        <f>IF(ISNA(VLOOKUP(貼り付け!G3,納入先名,4,FALSE)),"",VLOOKUP(貼り付け!G3,納入先名,4,FALSE))</f>
        <v>水野</v>
      </c>
      <c r="C3" s="222"/>
      <c r="D3" s="242" t="s">
        <v>63</v>
      </c>
      <c r="E3" s="260"/>
      <c r="F3" s="222"/>
      <c r="G3" s="222"/>
      <c r="H3" s="222"/>
      <c r="I3" s="222"/>
      <c r="J3" s="222"/>
      <c r="K3" s="261"/>
    </row>
    <row r="4" spans="1:13" ht="30" customHeight="1" x14ac:dyDescent="0.15">
      <c r="A4" s="20" t="s">
        <v>1</v>
      </c>
      <c r="B4" s="6" t="str">
        <f>貼り付け!G3</f>
        <v>PHT01</v>
      </c>
      <c r="C4" s="222" t="str">
        <f>IF(ISNA(VLOOKUP(B4,納入先名,2,FALSE)),"",VLOOKUP(B4,納入先名,2,FALSE))</f>
        <v>フィリピンタミヤ</v>
      </c>
      <c r="D4" s="222"/>
      <c r="E4" s="222"/>
      <c r="F4" s="222"/>
      <c r="G4" s="222"/>
      <c r="H4" s="222"/>
      <c r="I4" s="222"/>
      <c r="J4" s="222"/>
      <c r="K4" s="261"/>
    </row>
    <row r="5" spans="1:13" ht="30" customHeight="1" x14ac:dyDescent="0.15">
      <c r="A5" s="20" t="s">
        <v>2</v>
      </c>
      <c r="B5" s="5">
        <f>貼り付け!P3</f>
        <v>20170804</v>
      </c>
      <c r="C5" s="22" t="s">
        <v>58</v>
      </c>
      <c r="D5" s="243" t="str">
        <f>貼り付け!S3</f>
        <v>8/7納期</v>
      </c>
      <c r="E5" s="303"/>
      <c r="F5" s="303"/>
      <c r="G5" s="303"/>
      <c r="H5" s="303"/>
      <c r="I5" s="303"/>
      <c r="J5" s="303"/>
      <c r="K5" s="304"/>
    </row>
    <row r="6" spans="1:13" ht="30" customHeight="1" x14ac:dyDescent="0.15">
      <c r="A6" s="20" t="s">
        <v>60</v>
      </c>
      <c r="B6" s="98" t="str">
        <f>貼り付け!C3</f>
        <v>タミヤ様分</v>
      </c>
      <c r="C6" s="246" t="str">
        <f>IF(ISNA(VLOOKUP(B4,納入先名,8,FALSE)),"",VLOOKUP(B4,納入先名,8,FALSE))</f>
        <v>タミヤ様分</v>
      </c>
      <c r="D6" s="246"/>
      <c r="E6" s="246"/>
      <c r="F6" s="246"/>
      <c r="G6" s="246"/>
      <c r="H6" s="246"/>
      <c r="I6" s="246"/>
      <c r="J6" s="246"/>
      <c r="K6" s="247"/>
      <c r="M6" s="30"/>
    </row>
    <row r="7" spans="1:13" ht="30" customHeight="1" x14ac:dyDescent="0.15">
      <c r="A7" s="20" t="s">
        <v>5</v>
      </c>
      <c r="B7" s="96" t="str">
        <f>貼り付け!C3</f>
        <v>タミヤ様分</v>
      </c>
      <c r="C7" s="97"/>
      <c r="D7" s="22" t="s">
        <v>59</v>
      </c>
      <c r="E7" s="200" t="str">
        <f>貼り付け!E3</f>
        <v>伊坂化成株式会社　藤枝</v>
      </c>
      <c r="F7" s="201"/>
      <c r="G7" s="201"/>
      <c r="H7" s="201"/>
      <c r="I7" s="78"/>
      <c r="J7" s="198" t="s">
        <v>610</v>
      </c>
      <c r="K7" s="199"/>
    </row>
    <row r="8" spans="1:13" ht="30" customHeight="1" x14ac:dyDescent="0.15">
      <c r="A8" s="20" t="s">
        <v>8</v>
      </c>
      <c r="B8" s="237" t="str">
        <f>貼り付け!H3&amp;"  "&amp;貼り付け!I3</f>
        <v xml:space="preserve">アオキトランス㈱興津ターミナル事務所  </v>
      </c>
      <c r="C8" s="264"/>
      <c r="D8" s="264"/>
      <c r="E8" s="264"/>
      <c r="F8" s="264"/>
      <c r="G8" s="264"/>
      <c r="H8" s="264"/>
      <c r="I8" s="264"/>
      <c r="J8" s="264"/>
      <c r="K8" s="265"/>
    </row>
    <row r="9" spans="1:13" ht="30" customHeight="1" x14ac:dyDescent="0.15">
      <c r="A9" s="214" t="s">
        <v>9</v>
      </c>
      <c r="B9" s="225" t="str">
        <f>貼り付け!J3</f>
        <v>静岡市清水区興津清見寺１３７５－１６</v>
      </c>
      <c r="C9" s="226"/>
      <c r="D9" s="227"/>
      <c r="E9" s="256"/>
      <c r="F9" s="19" t="s">
        <v>137</v>
      </c>
      <c r="G9" s="18">
        <f>IF(ISNA(VLOOKUP(B4,納入先名,6,FALSE)),"",VLOOKUP(B4,納入先名,6,FALSE))</f>
        <v>424</v>
      </c>
      <c r="H9" s="18" t="s">
        <v>138</v>
      </c>
      <c r="I9" s="257" t="str">
        <f>IF(ISNA(VLOOKUP(B4,納入先名,7,FALSE)),"",VLOOKUP(B4,納入先名,7,FALSE))</f>
        <v>0206</v>
      </c>
      <c r="J9" s="257"/>
      <c r="K9" s="258"/>
    </row>
    <row r="10" spans="1:13" ht="30" customHeight="1" thickBot="1" x14ac:dyDescent="0.2">
      <c r="A10" s="255"/>
      <c r="B10" s="218" t="str">
        <f>IF(貼り付け!K3="","",貼り付け!K3)</f>
        <v/>
      </c>
      <c r="C10" s="219"/>
      <c r="D10" s="219"/>
      <c r="E10" s="220"/>
      <c r="F10" s="35" t="s">
        <v>139</v>
      </c>
      <c r="G10" s="298" t="str">
        <f>貼り付け!L3</f>
        <v>054-369-6666</v>
      </c>
      <c r="H10" s="216"/>
      <c r="I10" s="216"/>
      <c r="J10" s="216"/>
      <c r="K10" s="217"/>
      <c r="M10" t="s">
        <v>97</v>
      </c>
    </row>
    <row r="11" spans="1:13" ht="21.75" customHeight="1" thickBot="1" x14ac:dyDescent="0.2">
      <c r="A11" s="7"/>
      <c r="B11" s="7"/>
      <c r="C11" s="7"/>
      <c r="D11" s="7"/>
      <c r="E11" s="282" t="str">
        <f>IF(C4=M10,M11,"")</f>
        <v/>
      </c>
      <c r="F11" s="167"/>
      <c r="G11" s="167"/>
      <c r="H11" s="167"/>
      <c r="I11" s="167"/>
      <c r="J11" s="167"/>
      <c r="K11" s="167"/>
      <c r="L11" s="33"/>
      <c r="M11" s="36" t="s">
        <v>72</v>
      </c>
    </row>
    <row r="12" spans="1:13" ht="30" customHeight="1" x14ac:dyDescent="0.15">
      <c r="A12" s="283" t="s">
        <v>6</v>
      </c>
      <c r="B12" s="284"/>
      <c r="C12" s="87" t="s">
        <v>7</v>
      </c>
      <c r="D12" s="263" t="s">
        <v>10</v>
      </c>
      <c r="E12" s="285"/>
      <c r="F12" s="285"/>
      <c r="G12" s="210"/>
      <c r="H12" s="211"/>
      <c r="I12" s="263" t="s">
        <v>320</v>
      </c>
      <c r="J12" s="286"/>
      <c r="K12" s="287"/>
      <c r="L12" s="34"/>
    </row>
    <row r="13" spans="1:13" ht="15" customHeight="1" x14ac:dyDescent="0.15">
      <c r="A13" s="187" t="str">
        <f>IF(貼り付け!M3="","",貼り付け!M3)</f>
        <v>S1-FPA3-U-EX</v>
      </c>
      <c r="B13" s="193"/>
      <c r="C13" s="189">
        <f>IF(貼り付け!R3="","",貼り付け!R3)</f>
        <v>3</v>
      </c>
      <c r="D13" s="223"/>
      <c r="E13" s="292"/>
      <c r="F13" s="292"/>
      <c r="G13" s="292"/>
      <c r="H13" s="296"/>
      <c r="I13" s="223">
        <f t="shared" ref="I13:I35" si="0">IF(C13="","",1)</f>
        <v>1</v>
      </c>
      <c r="J13" s="292" t="s">
        <v>140</v>
      </c>
      <c r="K13" s="289">
        <f>IF(C13=1,"",C13)</f>
        <v>3</v>
      </c>
    </row>
    <row r="14" spans="1:13" ht="15" customHeight="1" x14ac:dyDescent="0.15">
      <c r="A14" s="191" t="str">
        <f>IF(貼り付け!N3="","",貼り付け!N3)</f>
        <v>ＦＰＡ－３ (UN/16KG)</v>
      </c>
      <c r="B14" s="253"/>
      <c r="C14" s="190"/>
      <c r="D14" s="295"/>
      <c r="E14" s="293"/>
      <c r="F14" s="293"/>
      <c r="G14" s="293"/>
      <c r="H14" s="297"/>
      <c r="I14" s="295"/>
      <c r="J14" s="293"/>
      <c r="K14" s="290"/>
    </row>
    <row r="15" spans="1:13" ht="15" customHeight="1" x14ac:dyDescent="0.15">
      <c r="A15" s="187" t="str">
        <f>IF(貼り付け!M4="","",貼り付け!M4)</f>
        <v/>
      </c>
      <c r="B15" s="193"/>
      <c r="C15" s="189" t="str">
        <f>IF(貼り付け!R4="","",貼り付け!R4)</f>
        <v/>
      </c>
      <c r="D15" s="223"/>
      <c r="E15" s="292"/>
      <c r="F15" s="292"/>
      <c r="G15" s="292"/>
      <c r="H15" s="296"/>
      <c r="I15" s="223" t="str">
        <f t="shared" si="0"/>
        <v/>
      </c>
      <c r="J15" s="292" t="s">
        <v>140</v>
      </c>
      <c r="K15" s="289" t="str">
        <f t="shared" ref="K15:K35" si="1">IF(C15=1,"",C15)</f>
        <v/>
      </c>
    </row>
    <row r="16" spans="1:13" ht="15" customHeight="1" x14ac:dyDescent="0.15">
      <c r="A16" s="196" t="str">
        <f>IF(貼り付け!N4="","",貼り付け!N4)</f>
        <v/>
      </c>
      <c r="B16" s="254"/>
      <c r="C16" s="190"/>
      <c r="D16" s="295"/>
      <c r="E16" s="293"/>
      <c r="F16" s="293"/>
      <c r="G16" s="293"/>
      <c r="H16" s="297"/>
      <c r="I16" s="295"/>
      <c r="J16" s="293"/>
      <c r="K16" s="290"/>
    </row>
    <row r="17" spans="1:11" ht="15" customHeight="1" x14ac:dyDescent="0.15">
      <c r="A17" s="187" t="str">
        <f>IF(貼り付け!M5="","",貼り付け!M5)</f>
        <v/>
      </c>
      <c r="B17" s="193"/>
      <c r="C17" s="189" t="str">
        <f>IF(貼り付け!R5="","",貼り付け!R5)</f>
        <v/>
      </c>
      <c r="D17" s="223"/>
      <c r="E17" s="292"/>
      <c r="F17" s="292"/>
      <c r="G17" s="292"/>
      <c r="H17" s="296"/>
      <c r="I17" s="223" t="str">
        <f t="shared" si="0"/>
        <v/>
      </c>
      <c r="J17" s="292" t="s">
        <v>140</v>
      </c>
      <c r="K17" s="289" t="str">
        <f t="shared" si="1"/>
        <v/>
      </c>
    </row>
    <row r="18" spans="1:11" ht="15" customHeight="1" x14ac:dyDescent="0.15">
      <c r="A18" s="196" t="str">
        <f>IF(貼り付け!N5="","",貼り付け!N5)</f>
        <v/>
      </c>
      <c r="B18" s="254"/>
      <c r="C18" s="190"/>
      <c r="D18" s="295"/>
      <c r="E18" s="293"/>
      <c r="F18" s="293"/>
      <c r="G18" s="293"/>
      <c r="H18" s="297"/>
      <c r="I18" s="295"/>
      <c r="J18" s="293"/>
      <c r="K18" s="290"/>
    </row>
    <row r="19" spans="1:11" ht="15" customHeight="1" x14ac:dyDescent="0.15">
      <c r="A19" s="187" t="str">
        <f>IF(貼り付け!M6="","",貼り付け!M6)</f>
        <v/>
      </c>
      <c r="B19" s="193"/>
      <c r="C19" s="189" t="str">
        <f>IF(貼り付け!R6="","",貼り付け!R6)</f>
        <v/>
      </c>
      <c r="D19" s="223"/>
      <c r="E19" s="292"/>
      <c r="F19" s="292"/>
      <c r="G19" s="292"/>
      <c r="H19" s="296"/>
      <c r="I19" s="223" t="str">
        <f t="shared" si="0"/>
        <v/>
      </c>
      <c r="J19" s="292" t="s">
        <v>140</v>
      </c>
      <c r="K19" s="289" t="str">
        <f t="shared" si="1"/>
        <v/>
      </c>
    </row>
    <row r="20" spans="1:11" ht="15" customHeight="1" x14ac:dyDescent="0.15">
      <c r="A20" s="191" t="str">
        <f>IF(貼り付け!N6="","",貼り付け!N6)</f>
        <v/>
      </c>
      <c r="B20" s="253"/>
      <c r="C20" s="190"/>
      <c r="D20" s="295"/>
      <c r="E20" s="293"/>
      <c r="F20" s="293"/>
      <c r="G20" s="293"/>
      <c r="H20" s="297"/>
      <c r="I20" s="295"/>
      <c r="J20" s="293"/>
      <c r="K20" s="290"/>
    </row>
    <row r="21" spans="1:11" ht="15" customHeight="1" x14ac:dyDescent="0.15">
      <c r="A21" s="187" t="str">
        <f>IF(貼り付け!M7="","",貼り付け!M7)</f>
        <v/>
      </c>
      <c r="B21" s="193"/>
      <c r="C21" s="189" t="str">
        <f>IF(貼り付け!R7="","",貼り付け!R7)</f>
        <v/>
      </c>
      <c r="D21" s="223"/>
      <c r="E21" s="292"/>
      <c r="F21" s="292"/>
      <c r="G21" s="292"/>
      <c r="H21" s="296"/>
      <c r="I21" s="223" t="str">
        <f t="shared" si="0"/>
        <v/>
      </c>
      <c r="J21" s="292" t="s">
        <v>140</v>
      </c>
      <c r="K21" s="289" t="str">
        <f t="shared" si="1"/>
        <v/>
      </c>
    </row>
    <row r="22" spans="1:11" ht="15" customHeight="1" x14ac:dyDescent="0.15">
      <c r="A22" s="191" t="str">
        <f>IF(貼り付け!N7="","",貼り付け!N7)</f>
        <v/>
      </c>
      <c r="B22" s="253"/>
      <c r="C22" s="190"/>
      <c r="D22" s="295"/>
      <c r="E22" s="293"/>
      <c r="F22" s="293"/>
      <c r="G22" s="293"/>
      <c r="H22" s="297"/>
      <c r="I22" s="295"/>
      <c r="J22" s="293"/>
      <c r="K22" s="290"/>
    </row>
    <row r="23" spans="1:11" ht="15" customHeight="1" x14ac:dyDescent="0.15">
      <c r="A23" s="187" t="str">
        <f>IF(貼り付け!M8="","",貼り付け!M8)</f>
        <v/>
      </c>
      <c r="B23" s="193"/>
      <c r="C23" s="189" t="str">
        <f>IF(貼り付け!R8="","",貼り付け!R8)</f>
        <v/>
      </c>
      <c r="D23" s="223"/>
      <c r="E23" s="292"/>
      <c r="F23" s="292"/>
      <c r="G23" s="292"/>
      <c r="H23" s="296"/>
      <c r="I23" s="223" t="str">
        <f t="shared" si="0"/>
        <v/>
      </c>
      <c r="J23" s="292" t="s">
        <v>140</v>
      </c>
      <c r="K23" s="289" t="str">
        <f t="shared" si="1"/>
        <v/>
      </c>
    </row>
    <row r="24" spans="1:11" ht="15" customHeight="1" x14ac:dyDescent="0.15">
      <c r="A24" s="191" t="str">
        <f>IF(貼り付け!N8="","",貼り付け!N8)</f>
        <v/>
      </c>
      <c r="B24" s="253"/>
      <c r="C24" s="190"/>
      <c r="D24" s="295"/>
      <c r="E24" s="293"/>
      <c r="F24" s="293"/>
      <c r="G24" s="293"/>
      <c r="H24" s="297"/>
      <c r="I24" s="295"/>
      <c r="J24" s="293"/>
      <c r="K24" s="290"/>
    </row>
    <row r="25" spans="1:11" ht="15" customHeight="1" x14ac:dyDescent="0.15">
      <c r="A25" s="187" t="str">
        <f>IF(貼り付け!M9="","",貼り付け!M9)</f>
        <v/>
      </c>
      <c r="B25" s="193"/>
      <c r="C25" s="189" t="str">
        <f>IF(貼り付け!R9="","",貼り付け!R9)</f>
        <v/>
      </c>
      <c r="D25" s="223"/>
      <c r="E25" s="292"/>
      <c r="F25" s="292"/>
      <c r="G25" s="292"/>
      <c r="H25" s="296"/>
      <c r="I25" s="223" t="str">
        <f t="shared" si="0"/>
        <v/>
      </c>
      <c r="J25" s="292" t="s">
        <v>140</v>
      </c>
      <c r="K25" s="289" t="str">
        <f t="shared" si="1"/>
        <v/>
      </c>
    </row>
    <row r="26" spans="1:11" ht="15" customHeight="1" x14ac:dyDescent="0.15">
      <c r="A26" s="191" t="str">
        <f>IF(貼り付け!N9="","",貼り付け!N9)</f>
        <v/>
      </c>
      <c r="B26" s="253"/>
      <c r="C26" s="190"/>
      <c r="D26" s="295"/>
      <c r="E26" s="293"/>
      <c r="F26" s="293"/>
      <c r="G26" s="293"/>
      <c r="H26" s="297"/>
      <c r="I26" s="295"/>
      <c r="J26" s="293"/>
      <c r="K26" s="290"/>
    </row>
    <row r="27" spans="1:11" ht="15" customHeight="1" x14ac:dyDescent="0.15">
      <c r="A27" s="187" t="str">
        <f>IF(貼り付け!M10="","",貼り付け!M10)</f>
        <v/>
      </c>
      <c r="B27" s="193"/>
      <c r="C27" s="189" t="str">
        <f>IF(貼り付け!R10="","",貼り付け!R10)</f>
        <v/>
      </c>
      <c r="D27" s="223"/>
      <c r="E27" s="292"/>
      <c r="F27" s="292"/>
      <c r="G27" s="292"/>
      <c r="H27" s="296"/>
      <c r="I27" s="223" t="str">
        <f t="shared" si="0"/>
        <v/>
      </c>
      <c r="J27" s="292" t="s">
        <v>140</v>
      </c>
      <c r="K27" s="289" t="str">
        <f t="shared" si="1"/>
        <v/>
      </c>
    </row>
    <row r="28" spans="1:11" ht="15" customHeight="1" x14ac:dyDescent="0.15">
      <c r="A28" s="191" t="str">
        <f>IF(貼り付け!N10="","",貼り付け!N10)</f>
        <v/>
      </c>
      <c r="B28" s="253"/>
      <c r="C28" s="190"/>
      <c r="D28" s="295"/>
      <c r="E28" s="293"/>
      <c r="F28" s="293"/>
      <c r="G28" s="293"/>
      <c r="H28" s="297"/>
      <c r="I28" s="295"/>
      <c r="J28" s="293"/>
      <c r="K28" s="290"/>
    </row>
    <row r="29" spans="1:11" ht="15" customHeight="1" x14ac:dyDescent="0.15">
      <c r="A29" s="187" t="str">
        <f>IF(貼り付け!M11="","",貼り付け!M11)</f>
        <v/>
      </c>
      <c r="B29" s="193"/>
      <c r="C29" s="189" t="str">
        <f>IF(貼り付け!R11="","",貼り付け!R11)</f>
        <v/>
      </c>
      <c r="D29" s="223"/>
      <c r="E29" s="292"/>
      <c r="F29" s="292"/>
      <c r="G29" s="292"/>
      <c r="H29" s="296"/>
      <c r="I29" s="223" t="str">
        <f t="shared" si="0"/>
        <v/>
      </c>
      <c r="J29" s="292" t="s">
        <v>140</v>
      </c>
      <c r="K29" s="289" t="str">
        <f t="shared" si="1"/>
        <v/>
      </c>
    </row>
    <row r="30" spans="1:11" ht="15" customHeight="1" x14ac:dyDescent="0.15">
      <c r="A30" s="191" t="str">
        <f>IF(貼り付け!N11="","",貼り付け!N11)</f>
        <v/>
      </c>
      <c r="B30" s="253"/>
      <c r="C30" s="190"/>
      <c r="D30" s="295"/>
      <c r="E30" s="293"/>
      <c r="F30" s="293"/>
      <c r="G30" s="293"/>
      <c r="H30" s="297"/>
      <c r="I30" s="295"/>
      <c r="J30" s="293"/>
      <c r="K30" s="290"/>
    </row>
    <row r="31" spans="1:11" ht="15" customHeight="1" x14ac:dyDescent="0.15">
      <c r="A31" s="187" t="str">
        <f>IF(貼り付け!M12="","",貼り付け!M12)</f>
        <v/>
      </c>
      <c r="B31" s="193"/>
      <c r="C31" s="189" t="str">
        <f>IF(貼り付け!R12="","",貼り付け!R12)</f>
        <v/>
      </c>
      <c r="D31" s="223"/>
      <c r="E31" s="292"/>
      <c r="F31" s="292"/>
      <c r="G31" s="292"/>
      <c r="H31" s="296"/>
      <c r="I31" s="223" t="str">
        <f t="shared" si="0"/>
        <v/>
      </c>
      <c r="J31" s="292" t="s">
        <v>140</v>
      </c>
      <c r="K31" s="289" t="str">
        <f t="shared" si="1"/>
        <v/>
      </c>
    </row>
    <row r="32" spans="1:11" ht="15" customHeight="1" x14ac:dyDescent="0.15">
      <c r="A32" s="191" t="str">
        <f>IF(貼り付け!N12="","",貼り付け!N12)</f>
        <v/>
      </c>
      <c r="B32" s="253"/>
      <c r="C32" s="190"/>
      <c r="D32" s="295"/>
      <c r="E32" s="293"/>
      <c r="F32" s="293"/>
      <c r="G32" s="293"/>
      <c r="H32" s="297"/>
      <c r="I32" s="295"/>
      <c r="J32" s="293"/>
      <c r="K32" s="290"/>
    </row>
    <row r="33" spans="1:11" ht="15" customHeight="1" x14ac:dyDescent="0.15">
      <c r="A33" s="187" t="str">
        <f>IF(貼り付け!M13="","",貼り付け!M13)</f>
        <v/>
      </c>
      <c r="B33" s="193"/>
      <c r="C33" s="189" t="str">
        <f>IF(貼り付け!R13="","",貼り付け!R13)</f>
        <v/>
      </c>
      <c r="D33" s="223"/>
      <c r="E33" s="292"/>
      <c r="F33" s="292"/>
      <c r="G33" s="292"/>
      <c r="H33" s="296"/>
      <c r="I33" s="223" t="str">
        <f t="shared" si="0"/>
        <v/>
      </c>
      <c r="J33" s="292" t="s">
        <v>140</v>
      </c>
      <c r="K33" s="289" t="str">
        <f t="shared" si="1"/>
        <v/>
      </c>
    </row>
    <row r="34" spans="1:11" ht="15" customHeight="1" x14ac:dyDescent="0.15">
      <c r="A34" s="191" t="str">
        <f>IF(貼り付け!N13="","",貼り付け!N13)</f>
        <v/>
      </c>
      <c r="B34" s="253"/>
      <c r="C34" s="190"/>
      <c r="D34" s="295"/>
      <c r="E34" s="293"/>
      <c r="F34" s="293"/>
      <c r="G34" s="293"/>
      <c r="H34" s="297"/>
      <c r="I34" s="295"/>
      <c r="J34" s="293"/>
      <c r="K34" s="290"/>
    </row>
    <row r="35" spans="1:11" ht="15" customHeight="1" x14ac:dyDescent="0.15">
      <c r="A35" s="187" t="str">
        <f>IF(貼り付け!M14="","",貼り付け!M14)</f>
        <v/>
      </c>
      <c r="B35" s="193"/>
      <c r="C35" s="189" t="str">
        <f>IF(貼り付け!R14="","",貼り付け!R14)</f>
        <v/>
      </c>
      <c r="D35" s="223"/>
      <c r="E35" s="292"/>
      <c r="F35" s="292"/>
      <c r="G35" s="292"/>
      <c r="H35" s="296"/>
      <c r="I35" s="223" t="str">
        <f t="shared" si="0"/>
        <v/>
      </c>
      <c r="J35" s="292" t="s">
        <v>140</v>
      </c>
      <c r="K35" s="289" t="str">
        <f t="shared" si="1"/>
        <v/>
      </c>
    </row>
    <row r="36" spans="1:11" ht="15" customHeight="1" thickBot="1" x14ac:dyDescent="0.2">
      <c r="A36" s="249" t="str">
        <f>IF(貼り付け!N14="","",貼り付け!N14)</f>
        <v/>
      </c>
      <c r="B36" s="250"/>
      <c r="C36" s="248"/>
      <c r="D36" s="288"/>
      <c r="E36" s="294"/>
      <c r="F36" s="294"/>
      <c r="G36" s="294"/>
      <c r="H36" s="299"/>
      <c r="I36" s="288"/>
      <c r="J36" s="294"/>
      <c r="K36" s="291"/>
    </row>
    <row r="37" spans="1:11" ht="30" customHeight="1" thickBot="1" x14ac:dyDescent="0.2">
      <c r="A37" s="3" t="s">
        <v>64</v>
      </c>
      <c r="B37" s="163">
        <f>SUM(C13:C36)</f>
        <v>3</v>
      </c>
      <c r="C37" s="164"/>
      <c r="D37" s="165" t="s">
        <v>66</v>
      </c>
      <c r="E37" s="166"/>
      <c r="F37" s="165"/>
      <c r="G37" s="167"/>
      <c r="H37" s="167"/>
      <c r="I37" s="167"/>
      <c r="J37" s="167"/>
      <c r="K37" s="168"/>
    </row>
    <row r="38" spans="1:11" ht="15" customHeight="1" x14ac:dyDescent="0.15">
      <c r="A38" s="88"/>
      <c r="B38" s="88"/>
      <c r="C38" s="89"/>
      <c r="D38" s="169" t="s">
        <v>2</v>
      </c>
      <c r="E38" s="170"/>
      <c r="F38" s="276">
        <f>B5</f>
        <v>20170804</v>
      </c>
      <c r="G38" s="277"/>
      <c r="H38" s="277"/>
      <c r="I38" s="277"/>
      <c r="J38" s="277"/>
      <c r="K38" s="278"/>
    </row>
    <row r="39" spans="1:11" ht="15" customHeight="1" x14ac:dyDescent="0.15">
      <c r="A39" s="88"/>
      <c r="B39" s="88"/>
      <c r="C39" s="89"/>
      <c r="D39" s="171"/>
      <c r="E39" s="172"/>
      <c r="F39" s="279"/>
      <c r="G39" s="280"/>
      <c r="H39" s="280"/>
      <c r="I39" s="280"/>
      <c r="J39" s="280"/>
      <c r="K39" s="281"/>
    </row>
    <row r="40" spans="1:11" ht="15" customHeight="1" x14ac:dyDescent="0.15">
      <c r="A40" s="88"/>
      <c r="B40" s="88"/>
      <c r="C40" s="89"/>
      <c r="D40" s="86"/>
      <c r="E40" s="86"/>
      <c r="F40" s="86"/>
      <c r="G40" s="86"/>
      <c r="H40" s="86"/>
      <c r="I40" s="86"/>
      <c r="J40" s="86"/>
      <c r="K40" s="86"/>
    </row>
    <row r="41" spans="1:11" ht="14.25" x14ac:dyDescent="0.15">
      <c r="D41" s="205"/>
      <c r="E41" s="205"/>
      <c r="F41" s="174"/>
      <c r="G41" s="174"/>
      <c r="H41" s="174"/>
      <c r="I41" s="174"/>
      <c r="J41" s="174"/>
      <c r="K41" s="174"/>
    </row>
  </sheetData>
  <mergeCells count="112">
    <mergeCell ref="D38:E39"/>
    <mergeCell ref="F38:K39"/>
    <mergeCell ref="A21:B21"/>
    <mergeCell ref="A22:B22"/>
    <mergeCell ref="A23:B23"/>
    <mergeCell ref="A24:B24"/>
    <mergeCell ref="D41:E41"/>
    <mergeCell ref="F41:K41"/>
    <mergeCell ref="C21:C22"/>
    <mergeCell ref="C23:C24"/>
    <mergeCell ref="A25:B25"/>
    <mergeCell ref="C25:C26"/>
    <mergeCell ref="A26:B26"/>
    <mergeCell ref="A27:B27"/>
    <mergeCell ref="C27:C28"/>
    <mergeCell ref="A28:B28"/>
    <mergeCell ref="D25:H26"/>
    <mergeCell ref="D27:H28"/>
    <mergeCell ref="D29:H30"/>
    <mergeCell ref="B37:C37"/>
    <mergeCell ref="D37:E37"/>
    <mergeCell ref="F37:K37"/>
    <mergeCell ref="J25:J26"/>
    <mergeCell ref="J27:J28"/>
    <mergeCell ref="A17:B17"/>
    <mergeCell ref="C15:C16"/>
    <mergeCell ref="C17:C18"/>
    <mergeCell ref="D15:H16"/>
    <mergeCell ref="D17:H18"/>
    <mergeCell ref="A18:B18"/>
    <mergeCell ref="A19:B19"/>
    <mergeCell ref="A20:B20"/>
    <mergeCell ref="C19:C20"/>
    <mergeCell ref="D19:H20"/>
    <mergeCell ref="E11:K11"/>
    <mergeCell ref="A12:B12"/>
    <mergeCell ref="D12:H12"/>
    <mergeCell ref="I12:K12"/>
    <mergeCell ref="A13:B13"/>
    <mergeCell ref="C13:C14"/>
    <mergeCell ref="D13:H14"/>
    <mergeCell ref="A15:B15"/>
    <mergeCell ref="A16:B16"/>
    <mergeCell ref="A14:B14"/>
    <mergeCell ref="J13:J14"/>
    <mergeCell ref="I15:I16"/>
    <mergeCell ref="K15:K16"/>
    <mergeCell ref="J15:J16"/>
    <mergeCell ref="B8:K8"/>
    <mergeCell ref="A1:K1"/>
    <mergeCell ref="C2:D2"/>
    <mergeCell ref="E2:K2"/>
    <mergeCell ref="B3:C3"/>
    <mergeCell ref="D3:E3"/>
    <mergeCell ref="F3:K3"/>
    <mergeCell ref="C4:K4"/>
    <mergeCell ref="D5:K5"/>
    <mergeCell ref="E7:H7"/>
    <mergeCell ref="J7:K7"/>
    <mergeCell ref="C6:K6"/>
    <mergeCell ref="A9:A10"/>
    <mergeCell ref="B9:E9"/>
    <mergeCell ref="I9:K9"/>
    <mergeCell ref="B10:E10"/>
    <mergeCell ref="G10:K10"/>
    <mergeCell ref="A33:B33"/>
    <mergeCell ref="C33:C34"/>
    <mergeCell ref="A34:B34"/>
    <mergeCell ref="A35:B35"/>
    <mergeCell ref="C35:C36"/>
    <mergeCell ref="A36:B36"/>
    <mergeCell ref="A29:B29"/>
    <mergeCell ref="C29:C30"/>
    <mergeCell ref="A30:B30"/>
    <mergeCell ref="A31:B31"/>
    <mergeCell ref="C31:C32"/>
    <mergeCell ref="A32:B32"/>
    <mergeCell ref="I31:I32"/>
    <mergeCell ref="I33:I34"/>
    <mergeCell ref="D31:H32"/>
    <mergeCell ref="D33:H34"/>
    <mergeCell ref="D35:H36"/>
    <mergeCell ref="I13:I14"/>
    <mergeCell ref="K13:K14"/>
    <mergeCell ref="I17:I18"/>
    <mergeCell ref="J17:J18"/>
    <mergeCell ref="K17:K18"/>
    <mergeCell ref="I19:I20"/>
    <mergeCell ref="K19:K20"/>
    <mergeCell ref="I21:I22"/>
    <mergeCell ref="I23:I24"/>
    <mergeCell ref="D21:H22"/>
    <mergeCell ref="D23:H24"/>
    <mergeCell ref="J19:J20"/>
    <mergeCell ref="J21:J22"/>
    <mergeCell ref="J23:J24"/>
    <mergeCell ref="I35:I36"/>
    <mergeCell ref="K21:K22"/>
    <mergeCell ref="K23:K24"/>
    <mergeCell ref="K25:K26"/>
    <mergeCell ref="K27:K28"/>
    <mergeCell ref="K29:K30"/>
    <mergeCell ref="K31:K32"/>
    <mergeCell ref="K33:K34"/>
    <mergeCell ref="K35:K36"/>
    <mergeCell ref="J29:J30"/>
    <mergeCell ref="J31:J32"/>
    <mergeCell ref="J33:J34"/>
    <mergeCell ref="J35:J36"/>
    <mergeCell ref="I25:I26"/>
    <mergeCell ref="I27:I28"/>
    <mergeCell ref="I29:I30"/>
  </mergeCells>
  <phoneticPr fontId="1"/>
  <pageMargins left="0.7" right="0.7" top="0.9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56"/>
  <sheetViews>
    <sheetView topLeftCell="A4" zoomScaleNormal="100" workbookViewId="0">
      <selection activeCell="B9" sqref="B9:E9"/>
    </sheetView>
  </sheetViews>
  <sheetFormatPr defaultRowHeight="13.5" x14ac:dyDescent="0.15"/>
  <cols>
    <col min="1" max="1" width="12.25" customWidth="1"/>
    <col min="2" max="2" width="23.625" customWidth="1"/>
    <col min="3" max="3" width="8.5" customWidth="1"/>
    <col min="4" max="5" width="8.625" customWidth="1"/>
    <col min="6" max="6" width="5.375" customWidth="1"/>
    <col min="7" max="7" width="4.875" customWidth="1"/>
    <col min="8" max="8" width="3.25" customWidth="1"/>
    <col min="9" max="9" width="2.625" customWidth="1"/>
    <col min="10" max="10" width="2" customWidth="1"/>
    <col min="11" max="11" width="7" customWidth="1"/>
    <col min="13" max="13" width="18.75" customWidth="1"/>
    <col min="16" max="16" width="5.375" customWidth="1"/>
  </cols>
  <sheetData>
    <row r="1" spans="1:16" ht="30" customHeight="1" thickBot="1" x14ac:dyDescent="0.2">
      <c r="A1" s="327" t="s">
        <v>67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</row>
    <row r="2" spans="1:16" ht="32.1" customHeight="1" x14ac:dyDescent="0.15">
      <c r="A2" s="54" t="s">
        <v>4</v>
      </c>
      <c r="B2" s="231">
        <f>貼り付け!B3</f>
        <v>20170802</v>
      </c>
      <c r="C2" s="262" t="s">
        <v>3</v>
      </c>
      <c r="D2" s="263" t="s">
        <v>3</v>
      </c>
      <c r="E2" s="211"/>
      <c r="F2" s="234" t="str">
        <f>貼り付け!A3</f>
        <v>J708000739</v>
      </c>
      <c r="G2" s="235"/>
      <c r="H2" s="235"/>
      <c r="I2" s="235"/>
      <c r="J2" s="235"/>
      <c r="K2" s="236"/>
    </row>
    <row r="3" spans="1:16" ht="32.1" customHeight="1" x14ac:dyDescent="0.15">
      <c r="A3" s="20" t="s">
        <v>62</v>
      </c>
      <c r="B3" s="222" t="str">
        <f>IF(ISNA(VLOOKUP(B4,納入先名,4,FALSE)),"",VLOOKUP(B4,納入先名,4,FALSE))</f>
        <v>水野</v>
      </c>
      <c r="C3" s="222"/>
      <c r="D3" s="242" t="s">
        <v>63</v>
      </c>
      <c r="E3" s="260"/>
      <c r="F3" s="222"/>
      <c r="G3" s="222"/>
      <c r="H3" s="222"/>
      <c r="I3" s="222"/>
      <c r="J3" s="222"/>
      <c r="K3" s="261"/>
    </row>
    <row r="4" spans="1:16" ht="32.1" customHeight="1" x14ac:dyDescent="0.15">
      <c r="A4" s="20" t="s">
        <v>1</v>
      </c>
      <c r="B4" s="237" t="str">
        <f>貼り付け!G3</f>
        <v>PHT01</v>
      </c>
      <c r="C4" s="238" t="str">
        <f>IF(ISNA(VLOOKUP(B4,納入先名!A1:B155,2,FALSE)),"",VLOOKUP(B4,納入先名!A1:B155,2,FALSE))</f>
        <v>フィリピンタミヤ</v>
      </c>
      <c r="D4" s="237" t="str">
        <f>IF(ISNA(VLOOKUP(B4,納入先名,2,FALSE)),"",VLOOKUP(B4,納入先名,2,FALSE))</f>
        <v>フィリピンタミヤ</v>
      </c>
      <c r="E4" s="264"/>
      <c r="F4" s="264"/>
      <c r="G4" s="264"/>
      <c r="H4" s="264"/>
      <c r="I4" s="264"/>
      <c r="J4" s="264"/>
      <c r="K4" s="265"/>
    </row>
    <row r="5" spans="1:16" ht="32.1" customHeight="1" x14ac:dyDescent="0.15">
      <c r="A5" s="20" t="s">
        <v>2</v>
      </c>
      <c r="B5" s="241">
        <f>貼り付け!P3</f>
        <v>20170804</v>
      </c>
      <c r="C5" s="238" t="s">
        <v>58</v>
      </c>
      <c r="D5" s="22" t="s">
        <v>58</v>
      </c>
      <c r="E5" s="266" t="str">
        <f>貼り付け!S3</f>
        <v>8/7納期</v>
      </c>
      <c r="F5" s="267"/>
      <c r="G5" s="267"/>
      <c r="H5" s="267"/>
      <c r="I5" s="267"/>
      <c r="J5" s="267"/>
      <c r="K5" s="268"/>
    </row>
    <row r="6" spans="1:16" ht="32.1" customHeight="1" x14ac:dyDescent="0.15">
      <c r="A6" s="20" t="s">
        <v>60</v>
      </c>
      <c r="B6" s="113" t="str">
        <f>貼り付け!C3</f>
        <v>タミヤ様分</v>
      </c>
      <c r="C6" s="325" t="str">
        <f>IF(ISNA(VLOOKUP(B4,納入先名,8,FALSE)),"",VLOOKUP(B4,納入先名,8,FALSE))</f>
        <v>タミヤ様分</v>
      </c>
      <c r="D6" s="325"/>
      <c r="E6" s="325"/>
      <c r="F6" s="325"/>
      <c r="G6" s="325"/>
      <c r="H6" s="325"/>
      <c r="I6" s="325"/>
      <c r="J6" s="325"/>
      <c r="K6" s="326"/>
    </row>
    <row r="7" spans="1:16" ht="32.1" customHeight="1" x14ac:dyDescent="0.15">
      <c r="A7" s="20" t="s">
        <v>5</v>
      </c>
      <c r="B7" s="237" t="str">
        <f>貼り付け!C3</f>
        <v>タミヤ様分</v>
      </c>
      <c r="C7" s="259"/>
      <c r="D7" s="22" t="s">
        <v>59</v>
      </c>
      <c r="E7" s="200" t="str">
        <f>貼り付け!E3</f>
        <v>伊坂化成株式会社　藤枝</v>
      </c>
      <c r="F7" s="201"/>
      <c r="G7" s="201"/>
      <c r="H7" s="201"/>
      <c r="I7" s="78"/>
      <c r="J7" s="198" t="s">
        <v>610</v>
      </c>
      <c r="K7" s="199"/>
      <c r="M7" s="30"/>
    </row>
    <row r="8" spans="1:16" ht="32.1" customHeight="1" x14ac:dyDescent="0.15">
      <c r="A8" s="20" t="s">
        <v>8</v>
      </c>
      <c r="B8" s="107" t="str">
        <f>貼り付け!H3&amp;"  "&amp;貼り付け!I3</f>
        <v xml:space="preserve">アオキトランス㈱興津ターミナル事務所  </v>
      </c>
      <c r="C8" s="100"/>
      <c r="D8" s="100"/>
      <c r="E8" s="160" t="s">
        <v>664</v>
      </c>
      <c r="F8" s="90"/>
      <c r="G8" s="73"/>
      <c r="H8" s="73"/>
      <c r="I8" s="73"/>
      <c r="J8" s="73"/>
      <c r="K8" s="74"/>
      <c r="P8" s="90" t="s">
        <v>614</v>
      </c>
    </row>
    <row r="9" spans="1:16" ht="32.1" customHeight="1" x14ac:dyDescent="0.15">
      <c r="A9" s="214" t="s">
        <v>9</v>
      </c>
      <c r="B9" s="319" t="str">
        <f>貼り付け!J3</f>
        <v>静岡市清水区興津清見寺１３７５－１６</v>
      </c>
      <c r="C9" s="320"/>
      <c r="D9" s="321"/>
      <c r="E9" s="322"/>
      <c r="F9" s="52" t="s">
        <v>137</v>
      </c>
      <c r="G9" s="18">
        <f>IF(ISNA(VLOOKUP(B4,納入先名,6,FALSE)),"",VLOOKUP(B4,納入先名,6,FALSE))</f>
        <v>424</v>
      </c>
      <c r="H9" s="18" t="s">
        <v>138</v>
      </c>
      <c r="I9" s="257" t="str">
        <f>IF(ISNA(VLOOKUP(B4,納入先名,7,FALSE)),"",VLOOKUP(B4,納入先名,7,FALSE))</f>
        <v>0206</v>
      </c>
      <c r="J9" s="257"/>
      <c r="K9" s="258"/>
      <c r="P9" s="90" t="s">
        <v>615</v>
      </c>
    </row>
    <row r="10" spans="1:16" ht="32.1" customHeight="1" thickBot="1" x14ac:dyDescent="0.2">
      <c r="A10" s="255"/>
      <c r="B10" s="329" t="str">
        <f>IF(貼り付け!K3="","",貼り付け!K3)</f>
        <v/>
      </c>
      <c r="C10" s="330"/>
      <c r="D10" s="330"/>
      <c r="E10" s="331"/>
      <c r="F10" s="53" t="s">
        <v>139</v>
      </c>
      <c r="G10" s="216" t="str">
        <f>貼り付け!L3</f>
        <v>054-369-6666</v>
      </c>
      <c r="H10" s="216"/>
      <c r="I10" s="216"/>
      <c r="J10" s="216"/>
      <c r="K10" s="217"/>
    </row>
    <row r="11" spans="1:16" ht="21" customHeight="1" thickBot="1" x14ac:dyDescent="0.2">
      <c r="A11" s="7"/>
      <c r="B11" s="7"/>
      <c r="C11" s="37"/>
      <c r="D11" s="282" t="str">
        <f>IF(C4=M13,M14,"")</f>
        <v/>
      </c>
      <c r="E11" s="328"/>
      <c r="F11" s="328"/>
      <c r="G11" s="328"/>
      <c r="H11" s="328"/>
      <c r="I11" s="328"/>
      <c r="J11" s="328"/>
      <c r="K11" s="328"/>
    </row>
    <row r="12" spans="1:16" ht="30" customHeight="1" x14ac:dyDescent="0.15">
      <c r="A12" s="283" t="s">
        <v>6</v>
      </c>
      <c r="B12" s="284"/>
      <c r="C12" s="87" t="s">
        <v>7</v>
      </c>
      <c r="D12" s="263" t="s">
        <v>10</v>
      </c>
      <c r="E12" s="286"/>
      <c r="F12" s="286"/>
      <c r="G12" s="286"/>
      <c r="H12" s="286"/>
      <c r="I12" s="286"/>
      <c r="J12" s="232"/>
      <c r="K12" s="312"/>
    </row>
    <row r="13" spans="1:16" ht="15" customHeight="1" x14ac:dyDescent="0.15">
      <c r="A13" s="187" t="str">
        <f>IF(貼り付け!M3="","",貼り付け!M3)</f>
        <v>S1-FPA3-U-EX</v>
      </c>
      <c r="B13" s="193"/>
      <c r="C13" s="189">
        <f>IF(貼り付け!R3="","",貼り付け!R3)</f>
        <v>3</v>
      </c>
      <c r="D13" s="179"/>
      <c r="E13" s="180"/>
      <c r="F13" s="180"/>
      <c r="G13" s="180"/>
      <c r="H13" s="180"/>
      <c r="I13" s="181"/>
      <c r="J13" s="305"/>
      <c r="K13" s="306"/>
      <c r="M13" t="s">
        <v>97</v>
      </c>
    </row>
    <row r="14" spans="1:16" ht="15" customHeight="1" thickBot="1" x14ac:dyDescent="0.2">
      <c r="A14" s="191" t="str">
        <f>IF(貼り付け!N3="","",貼り付け!N3)</f>
        <v>ＦＰＡ－３ (UN/16KG)</v>
      </c>
      <c r="B14" s="253"/>
      <c r="C14" s="190"/>
      <c r="D14" s="182"/>
      <c r="E14" s="183"/>
      <c r="F14" s="183"/>
      <c r="G14" s="183"/>
      <c r="H14" s="183"/>
      <c r="I14" s="184"/>
      <c r="J14" s="305"/>
      <c r="K14" s="306"/>
      <c r="M14" s="32" t="s">
        <v>72</v>
      </c>
    </row>
    <row r="15" spans="1:16" ht="15" customHeight="1" thickBot="1" x14ac:dyDescent="0.2">
      <c r="A15" s="187" t="str">
        <f>IF(貼り付け!M4="","",貼り付け!M4)</f>
        <v/>
      </c>
      <c r="B15" s="193"/>
      <c r="C15" s="189" t="str">
        <f>IF(貼り付け!R4="","",貼り付け!R4)</f>
        <v/>
      </c>
      <c r="D15" s="179"/>
      <c r="E15" s="180"/>
      <c r="F15" s="180"/>
      <c r="G15" s="180"/>
      <c r="H15" s="180"/>
      <c r="I15" s="181"/>
      <c r="J15" s="305"/>
      <c r="K15" s="306"/>
      <c r="M15" s="82" t="s">
        <v>611</v>
      </c>
      <c r="N15" s="83" t="s">
        <v>612</v>
      </c>
    </row>
    <row r="16" spans="1:16" ht="15" customHeight="1" x14ac:dyDescent="0.15">
      <c r="A16" s="196" t="str">
        <f>IF(貼り付け!N4="","",貼り付け!N4)</f>
        <v/>
      </c>
      <c r="B16" s="254"/>
      <c r="C16" s="190"/>
      <c r="D16" s="182"/>
      <c r="E16" s="183"/>
      <c r="F16" s="183"/>
      <c r="G16" s="183"/>
      <c r="H16" s="183"/>
      <c r="I16" s="184"/>
      <c r="J16" s="305"/>
      <c r="K16" s="306"/>
      <c r="M16" s="79" t="str">
        <f>IF(貼り付け!M3="","",貼り付け!M3)</f>
        <v>S1-FPA3-U-EX</v>
      </c>
    </row>
    <row r="17" spans="1:13" ht="15" customHeight="1" x14ac:dyDescent="0.15">
      <c r="A17" s="187" t="str">
        <f>IF(貼り付け!M5="","",貼り付け!M5)</f>
        <v/>
      </c>
      <c r="B17" s="193"/>
      <c r="C17" s="189" t="str">
        <f>IF(貼り付け!R5="","",貼り付け!R5)</f>
        <v/>
      </c>
      <c r="D17" s="179"/>
      <c r="E17" s="180"/>
      <c r="F17" s="180"/>
      <c r="G17" s="180"/>
      <c r="H17" s="180"/>
      <c r="I17" s="181"/>
      <c r="J17" s="305"/>
      <c r="K17" s="306"/>
      <c r="M17" s="80" t="str">
        <f>IF(貼り付け!M4="","",貼り付け!M4)</f>
        <v/>
      </c>
    </row>
    <row r="18" spans="1:13" ht="15" customHeight="1" x14ac:dyDescent="0.15">
      <c r="A18" s="196" t="str">
        <f>IF(貼り付け!N5="","",貼り付け!N5)</f>
        <v/>
      </c>
      <c r="B18" s="254"/>
      <c r="C18" s="190"/>
      <c r="D18" s="182"/>
      <c r="E18" s="183"/>
      <c r="F18" s="183"/>
      <c r="G18" s="183"/>
      <c r="H18" s="183"/>
      <c r="I18" s="184"/>
      <c r="J18" s="305"/>
      <c r="K18" s="306"/>
      <c r="M18" s="80" t="str">
        <f>IF(貼り付け!M5="","",貼り付け!M5)</f>
        <v/>
      </c>
    </row>
    <row r="19" spans="1:13" ht="15" customHeight="1" x14ac:dyDescent="0.15">
      <c r="A19" s="187" t="str">
        <f>IF(貼り付け!M6="","",貼り付け!M6)</f>
        <v/>
      </c>
      <c r="B19" s="193"/>
      <c r="C19" s="189" t="str">
        <f>IF(貼り付け!R6="","",貼り付け!R6)</f>
        <v/>
      </c>
      <c r="D19" s="179"/>
      <c r="E19" s="180"/>
      <c r="F19" s="180"/>
      <c r="G19" s="180"/>
      <c r="H19" s="180"/>
      <c r="I19" s="181"/>
      <c r="J19" s="305"/>
      <c r="K19" s="306"/>
      <c r="M19" s="80" t="str">
        <f>IF(貼り付け!M6="","",貼り付け!M6)</f>
        <v/>
      </c>
    </row>
    <row r="20" spans="1:13" ht="15" customHeight="1" x14ac:dyDescent="0.15">
      <c r="A20" s="191" t="str">
        <f>IF(貼り付け!N6="","",貼り付け!N6)</f>
        <v/>
      </c>
      <c r="B20" s="253"/>
      <c r="C20" s="190"/>
      <c r="D20" s="182"/>
      <c r="E20" s="183"/>
      <c r="F20" s="183"/>
      <c r="G20" s="183"/>
      <c r="H20" s="183"/>
      <c r="I20" s="184"/>
      <c r="J20" s="305"/>
      <c r="K20" s="306"/>
      <c r="M20" s="80" t="str">
        <f>IF(貼り付け!M7="","",貼り付け!M7)</f>
        <v/>
      </c>
    </row>
    <row r="21" spans="1:13" ht="15" customHeight="1" x14ac:dyDescent="0.15">
      <c r="A21" s="187" t="str">
        <f>IF(貼り付け!M7="","",貼り付け!M7)</f>
        <v/>
      </c>
      <c r="B21" s="193"/>
      <c r="C21" s="189" t="str">
        <f>IF(貼り付け!R7="","",貼り付け!R7)</f>
        <v/>
      </c>
      <c r="D21" s="179"/>
      <c r="E21" s="180"/>
      <c r="F21" s="180"/>
      <c r="G21" s="180"/>
      <c r="H21" s="180"/>
      <c r="I21" s="181"/>
      <c r="J21" s="305"/>
      <c r="K21" s="306"/>
      <c r="M21" s="80" t="str">
        <f>IF(貼り付け!M8="","",貼り付け!M8)</f>
        <v/>
      </c>
    </row>
    <row r="22" spans="1:13" ht="15" customHeight="1" x14ac:dyDescent="0.15">
      <c r="A22" s="191" t="str">
        <f>IF(貼り付け!N7="","",貼り付け!N7)</f>
        <v/>
      </c>
      <c r="B22" s="253"/>
      <c r="C22" s="190"/>
      <c r="D22" s="182"/>
      <c r="E22" s="183"/>
      <c r="F22" s="183"/>
      <c r="G22" s="183"/>
      <c r="H22" s="183"/>
      <c r="I22" s="184"/>
      <c r="J22" s="305"/>
      <c r="K22" s="306"/>
      <c r="M22" s="80" t="str">
        <f>IF(貼り付け!M9="","",貼り付け!M9)</f>
        <v/>
      </c>
    </row>
    <row r="23" spans="1:13" ht="15" customHeight="1" x14ac:dyDescent="0.15">
      <c r="A23" s="187" t="str">
        <f>IF(貼り付け!M8="","",貼り付け!M8)</f>
        <v/>
      </c>
      <c r="B23" s="193"/>
      <c r="C23" s="189" t="str">
        <f>IF(貼り付け!R8="","",貼り付け!R8)</f>
        <v/>
      </c>
      <c r="D23" s="179"/>
      <c r="E23" s="180"/>
      <c r="F23" s="180"/>
      <c r="G23" s="180"/>
      <c r="H23" s="180"/>
      <c r="I23" s="181"/>
      <c r="J23" s="305"/>
      <c r="K23" s="306"/>
      <c r="M23" s="80" t="str">
        <f>IF(貼り付け!M10="","",貼り付け!M10)</f>
        <v/>
      </c>
    </row>
    <row r="24" spans="1:13" ht="15" customHeight="1" x14ac:dyDescent="0.15">
      <c r="A24" s="323" t="str">
        <f>IF(貼り付け!N8="","",貼り付け!N8)</f>
        <v/>
      </c>
      <c r="B24" s="324"/>
      <c r="C24" s="190"/>
      <c r="D24" s="182"/>
      <c r="E24" s="183"/>
      <c r="F24" s="183"/>
      <c r="G24" s="183"/>
      <c r="H24" s="183"/>
      <c r="I24" s="184"/>
      <c r="J24" s="305"/>
      <c r="K24" s="306"/>
      <c r="M24" s="80" t="str">
        <f>IF(貼り付け!M11="","",貼り付け!M11)</f>
        <v/>
      </c>
    </row>
    <row r="25" spans="1:13" ht="15" customHeight="1" x14ac:dyDescent="0.15">
      <c r="A25" s="187" t="str">
        <f>IF(貼り付け!M9="","",貼り付け!M9)</f>
        <v/>
      </c>
      <c r="B25" s="193"/>
      <c r="C25" s="189" t="str">
        <f>IF(貼り付け!R9="","",貼り付け!R9)</f>
        <v/>
      </c>
      <c r="D25" s="179"/>
      <c r="E25" s="180"/>
      <c r="F25" s="180"/>
      <c r="G25" s="180"/>
      <c r="H25" s="180"/>
      <c r="I25" s="181"/>
      <c r="J25" s="305"/>
      <c r="K25" s="306"/>
      <c r="M25" s="80" t="str">
        <f>IF(貼り付け!M12="","",貼り付け!M12)</f>
        <v/>
      </c>
    </row>
    <row r="26" spans="1:13" ht="15" customHeight="1" x14ac:dyDescent="0.15">
      <c r="A26" s="191" t="str">
        <f>IF(貼り付け!N9="","",貼り付け!N9)</f>
        <v/>
      </c>
      <c r="B26" s="253"/>
      <c r="C26" s="190"/>
      <c r="D26" s="182"/>
      <c r="E26" s="183"/>
      <c r="F26" s="183"/>
      <c r="G26" s="183"/>
      <c r="H26" s="183"/>
      <c r="I26" s="184"/>
      <c r="J26" s="305"/>
      <c r="K26" s="306"/>
      <c r="M26" s="80" t="str">
        <f>IF(貼り付け!M13="","",貼り付け!M13)</f>
        <v/>
      </c>
    </row>
    <row r="27" spans="1:13" ht="15" customHeight="1" thickBot="1" x14ac:dyDescent="0.2">
      <c r="A27" s="187" t="str">
        <f>IF(貼り付け!M10="","",貼り付け!M10)</f>
        <v/>
      </c>
      <c r="B27" s="193"/>
      <c r="C27" s="189" t="str">
        <f>IF(貼り付け!R10="","",貼り付け!R10)</f>
        <v/>
      </c>
      <c r="D27" s="179"/>
      <c r="E27" s="180"/>
      <c r="F27" s="180"/>
      <c r="G27" s="180"/>
      <c r="H27" s="180"/>
      <c r="I27" s="181"/>
      <c r="J27" s="305"/>
      <c r="K27" s="306"/>
      <c r="M27" s="81" t="str">
        <f>IF(貼り付け!M14="","",貼り付け!M14)</f>
        <v/>
      </c>
    </row>
    <row r="28" spans="1:13" ht="15" customHeight="1" x14ac:dyDescent="0.15">
      <c r="A28" s="191" t="str">
        <f>IF(貼り付け!N10="","",貼り付け!N10)</f>
        <v/>
      </c>
      <c r="B28" s="253"/>
      <c r="C28" s="190"/>
      <c r="D28" s="182"/>
      <c r="E28" s="183"/>
      <c r="F28" s="183"/>
      <c r="G28" s="183"/>
      <c r="H28" s="183"/>
      <c r="I28" s="184"/>
      <c r="J28" s="305"/>
      <c r="K28" s="306"/>
    </row>
    <row r="29" spans="1:13" ht="15" customHeight="1" x14ac:dyDescent="0.15">
      <c r="A29" s="187" t="str">
        <f>IF(貼り付け!M11="","",貼り付け!M11)</f>
        <v/>
      </c>
      <c r="B29" s="193"/>
      <c r="C29" s="189" t="str">
        <f>IF(貼り付け!R11="","",貼り付け!R11)</f>
        <v/>
      </c>
      <c r="D29" s="179"/>
      <c r="E29" s="180"/>
      <c r="F29" s="180"/>
      <c r="G29" s="180"/>
      <c r="H29" s="180"/>
      <c r="I29" s="181"/>
      <c r="J29" s="305"/>
      <c r="K29" s="306"/>
    </row>
    <row r="30" spans="1:13" ht="15" customHeight="1" x14ac:dyDescent="0.15">
      <c r="A30" s="191" t="str">
        <f>IF(貼り付け!N11="","",貼り付け!N11)</f>
        <v/>
      </c>
      <c r="B30" s="253"/>
      <c r="C30" s="190"/>
      <c r="D30" s="182"/>
      <c r="E30" s="183"/>
      <c r="F30" s="183"/>
      <c r="G30" s="183"/>
      <c r="H30" s="183"/>
      <c r="I30" s="184"/>
      <c r="J30" s="305"/>
      <c r="K30" s="306"/>
    </row>
    <row r="31" spans="1:13" ht="15" customHeight="1" x14ac:dyDescent="0.15">
      <c r="A31" s="187" t="str">
        <f>IF(貼り付け!M12="","",貼り付け!M12)</f>
        <v/>
      </c>
      <c r="B31" s="193"/>
      <c r="C31" s="189" t="str">
        <f>IF(貼り付け!R12="","",貼り付け!R12)</f>
        <v/>
      </c>
      <c r="D31" s="179"/>
      <c r="E31" s="180"/>
      <c r="F31" s="180"/>
      <c r="G31" s="180"/>
      <c r="H31" s="180"/>
      <c r="I31" s="181"/>
      <c r="J31" s="305"/>
      <c r="K31" s="306"/>
    </row>
    <row r="32" spans="1:13" ht="15" customHeight="1" x14ac:dyDescent="0.15">
      <c r="A32" s="191" t="str">
        <f>IF(貼り付け!N12="","",貼り付け!N12)</f>
        <v/>
      </c>
      <c r="B32" s="253"/>
      <c r="C32" s="190"/>
      <c r="D32" s="182"/>
      <c r="E32" s="183"/>
      <c r="F32" s="183"/>
      <c r="G32" s="183"/>
      <c r="H32" s="183"/>
      <c r="I32" s="184"/>
      <c r="J32" s="305"/>
      <c r="K32" s="306"/>
    </row>
    <row r="33" spans="1:11" ht="15" customHeight="1" x14ac:dyDescent="0.15">
      <c r="A33" s="187" t="str">
        <f>IF(貼り付け!M13="","",貼り付け!M13)</f>
        <v/>
      </c>
      <c r="B33" s="193"/>
      <c r="C33" s="189" t="str">
        <f>IF(貼り付け!R13="","",貼り付け!R13)</f>
        <v/>
      </c>
      <c r="D33" s="179"/>
      <c r="E33" s="180"/>
      <c r="F33" s="180"/>
      <c r="G33" s="180"/>
      <c r="H33" s="180"/>
      <c r="I33" s="181"/>
      <c r="J33" s="305"/>
      <c r="K33" s="306"/>
    </row>
    <row r="34" spans="1:11" ht="15" customHeight="1" x14ac:dyDescent="0.15">
      <c r="A34" s="191" t="str">
        <f>IF(貼り付け!N13="","",貼り付け!N13)</f>
        <v/>
      </c>
      <c r="B34" s="253"/>
      <c r="C34" s="190"/>
      <c r="D34" s="182"/>
      <c r="E34" s="183"/>
      <c r="F34" s="183"/>
      <c r="G34" s="183"/>
      <c r="H34" s="183"/>
      <c r="I34" s="184"/>
      <c r="J34" s="305"/>
      <c r="K34" s="306"/>
    </row>
    <row r="35" spans="1:11" ht="15" customHeight="1" x14ac:dyDescent="0.15">
      <c r="A35" s="187" t="str">
        <f>IF(貼り付け!M14="","",貼り付け!M14)</f>
        <v/>
      </c>
      <c r="B35" s="193"/>
      <c r="C35" s="189" t="str">
        <f>IF(貼り付け!R14="","",貼り付け!R14)</f>
        <v/>
      </c>
      <c r="D35" s="179"/>
      <c r="E35" s="180"/>
      <c r="F35" s="180"/>
      <c r="G35" s="180"/>
      <c r="H35" s="180"/>
      <c r="I35" s="181"/>
      <c r="J35" s="305"/>
      <c r="K35" s="306"/>
    </row>
    <row r="36" spans="1:11" ht="15" customHeight="1" thickBot="1" x14ac:dyDescent="0.2">
      <c r="A36" s="249" t="str">
        <f>IF(貼り付け!N14="","",貼り付け!N14)</f>
        <v/>
      </c>
      <c r="B36" s="250"/>
      <c r="C36" s="248"/>
      <c r="D36" s="309"/>
      <c r="E36" s="310"/>
      <c r="F36" s="310"/>
      <c r="G36" s="310"/>
      <c r="H36" s="310"/>
      <c r="I36" s="311"/>
      <c r="J36" s="307"/>
      <c r="K36" s="308"/>
    </row>
    <row r="37" spans="1:11" ht="30" customHeight="1" thickBot="1" x14ac:dyDescent="0.2">
      <c r="A37" s="16" t="s">
        <v>64</v>
      </c>
      <c r="B37" s="313">
        <f>SUM(C13:C36)</f>
        <v>3</v>
      </c>
      <c r="C37" s="314"/>
      <c r="D37" s="315" t="s">
        <v>66</v>
      </c>
      <c r="E37" s="291"/>
      <c r="F37" s="316"/>
      <c r="G37" s="317"/>
      <c r="H37" s="317"/>
      <c r="I37" s="317"/>
      <c r="J37" s="317"/>
      <c r="K37" s="318"/>
    </row>
    <row r="38" spans="1:11" x14ac:dyDescent="0.15">
      <c r="D38" s="274" t="s">
        <v>2</v>
      </c>
      <c r="E38" s="275"/>
      <c r="F38" s="173">
        <f>B5</f>
        <v>20170804</v>
      </c>
      <c r="G38" s="174"/>
      <c r="H38" s="174"/>
      <c r="I38" s="174"/>
      <c r="J38" s="174"/>
      <c r="K38" s="175"/>
    </row>
    <row r="39" spans="1:11" x14ac:dyDescent="0.15">
      <c r="D39" s="171"/>
      <c r="E39" s="172"/>
      <c r="F39" s="176"/>
      <c r="G39" s="177"/>
      <c r="H39" s="177"/>
      <c r="I39" s="177"/>
      <c r="J39" s="177"/>
      <c r="K39" s="178"/>
    </row>
    <row r="41" spans="1:11" ht="26.25" customHeight="1" x14ac:dyDescent="0.15">
      <c r="A41" s="51"/>
    </row>
    <row r="56" spans="15:15" x14ac:dyDescent="0.15">
      <c r="O56" s="83"/>
    </row>
  </sheetData>
  <mergeCells count="89">
    <mergeCell ref="C6:K6"/>
    <mergeCell ref="A1:K1"/>
    <mergeCell ref="A12:B12"/>
    <mergeCell ref="B3:C3"/>
    <mergeCell ref="D3:E3"/>
    <mergeCell ref="I9:K9"/>
    <mergeCell ref="B7:C7"/>
    <mergeCell ref="D11:K11"/>
    <mergeCell ref="A9:A10"/>
    <mergeCell ref="G10:K10"/>
    <mergeCell ref="B10:E10"/>
    <mergeCell ref="F3:K3"/>
    <mergeCell ref="E7:H7"/>
    <mergeCell ref="D2:E2"/>
    <mergeCell ref="D4:K4"/>
    <mergeCell ref="B5:C5"/>
    <mergeCell ref="B2:C2"/>
    <mergeCell ref="F2:K2"/>
    <mergeCell ref="B4:C4"/>
    <mergeCell ref="B37:C37"/>
    <mergeCell ref="D37:E37"/>
    <mergeCell ref="F37:K37"/>
    <mergeCell ref="J7:K7"/>
    <mergeCell ref="D12:I12"/>
    <mergeCell ref="E5:K5"/>
    <mergeCell ref="B9:E9"/>
    <mergeCell ref="A23:B23"/>
    <mergeCell ref="C23:C24"/>
    <mergeCell ref="A24:B24"/>
    <mergeCell ref="J23:K24"/>
    <mergeCell ref="D23:I24"/>
    <mergeCell ref="A25:B25"/>
    <mergeCell ref="D38:E39"/>
    <mergeCell ref="F38:K39"/>
    <mergeCell ref="J12:K12"/>
    <mergeCell ref="A13:B13"/>
    <mergeCell ref="C13:C14"/>
    <mergeCell ref="A14:B14"/>
    <mergeCell ref="A15:B15"/>
    <mergeCell ref="C15:C16"/>
    <mergeCell ref="A21:B21"/>
    <mergeCell ref="C21:C22"/>
    <mergeCell ref="A22:B22"/>
    <mergeCell ref="J21:K22"/>
    <mergeCell ref="A19:B19"/>
    <mergeCell ref="C19:C20"/>
    <mergeCell ref="A20:B20"/>
    <mergeCell ref="J19:K20"/>
    <mergeCell ref="C25:C26"/>
    <mergeCell ref="A26:B26"/>
    <mergeCell ref="J25:K26"/>
    <mergeCell ref="D25:I26"/>
    <mergeCell ref="A27:B27"/>
    <mergeCell ref="C27:C28"/>
    <mergeCell ref="A28:B28"/>
    <mergeCell ref="J27:K28"/>
    <mergeCell ref="D27:I28"/>
    <mergeCell ref="A32:B32"/>
    <mergeCell ref="J31:K32"/>
    <mergeCell ref="D31:I32"/>
    <mergeCell ref="A29:B29"/>
    <mergeCell ref="C29:C30"/>
    <mergeCell ref="A30:B30"/>
    <mergeCell ref="J29:K30"/>
    <mergeCell ref="D29:I30"/>
    <mergeCell ref="D21:I22"/>
    <mergeCell ref="J13:K14"/>
    <mergeCell ref="J15:K16"/>
    <mergeCell ref="J17:K18"/>
    <mergeCell ref="A35:B35"/>
    <mergeCell ref="C35:C36"/>
    <mergeCell ref="A36:B36"/>
    <mergeCell ref="J35:K36"/>
    <mergeCell ref="D35:I36"/>
    <mergeCell ref="A33:B33"/>
    <mergeCell ref="C33:C34"/>
    <mergeCell ref="A34:B34"/>
    <mergeCell ref="J33:K34"/>
    <mergeCell ref="D33:I34"/>
    <mergeCell ref="A31:B31"/>
    <mergeCell ref="C31:C32"/>
    <mergeCell ref="D13:I14"/>
    <mergeCell ref="D15:I16"/>
    <mergeCell ref="D17:I18"/>
    <mergeCell ref="D19:I20"/>
    <mergeCell ref="A16:B16"/>
    <mergeCell ref="A17:B17"/>
    <mergeCell ref="C17:C18"/>
    <mergeCell ref="A18:B18"/>
  </mergeCells>
  <phoneticPr fontId="1"/>
  <pageMargins left="0.78740157480314965" right="0.36" top="0.78740157480314965" bottom="0.70866141732283472" header="0.51181102362204722" footer="0.51181102362204722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6"/>
  <sheetViews>
    <sheetView topLeftCell="A7" zoomScale="106" zoomScaleNormal="106" workbookViewId="0">
      <selection activeCell="F9" sqref="F9"/>
    </sheetView>
  </sheetViews>
  <sheetFormatPr defaultRowHeight="13.5" x14ac:dyDescent="0.15"/>
  <cols>
    <col min="1" max="1" width="12.25" customWidth="1"/>
    <col min="2" max="2" width="23.625" customWidth="1"/>
    <col min="3" max="3" width="8.5" customWidth="1"/>
    <col min="4" max="5" width="8.625" customWidth="1"/>
    <col min="6" max="6" width="5.375" customWidth="1"/>
    <col min="7" max="7" width="4.875" customWidth="1"/>
    <col min="8" max="8" width="3.25" customWidth="1"/>
    <col min="9" max="9" width="2.625" customWidth="1"/>
    <col min="10" max="10" width="2" customWidth="1"/>
    <col min="11" max="11" width="7" customWidth="1"/>
    <col min="13" max="13" width="24.375" bestFit="1" customWidth="1"/>
    <col min="16" max="16" width="5.375" customWidth="1"/>
  </cols>
  <sheetData>
    <row r="1" spans="1:16" ht="30" customHeight="1" thickBot="1" x14ac:dyDescent="0.2">
      <c r="A1" s="327" t="s">
        <v>67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</row>
    <row r="2" spans="1:16" ht="32.1" customHeight="1" x14ac:dyDescent="0.15">
      <c r="A2" s="54" t="s">
        <v>4</v>
      </c>
      <c r="B2" s="231">
        <f>貼り付け!B3</f>
        <v>20170802</v>
      </c>
      <c r="C2" s="262" t="s">
        <v>3</v>
      </c>
      <c r="D2" s="263" t="s">
        <v>3</v>
      </c>
      <c r="E2" s="211"/>
      <c r="F2" s="234" t="str">
        <f>貼り付け!A3</f>
        <v>J708000739</v>
      </c>
      <c r="G2" s="235"/>
      <c r="H2" s="235"/>
      <c r="I2" s="235"/>
      <c r="J2" s="235"/>
      <c r="K2" s="236"/>
    </row>
    <row r="3" spans="1:16" ht="32.1" customHeight="1" x14ac:dyDescent="0.15">
      <c r="A3" s="20" t="s">
        <v>62</v>
      </c>
      <c r="B3" s="222" t="str">
        <f>IF(ISNA(VLOOKUP(B4,納入先名,4,FALSE)),"",VLOOKUP(B4,納入先名,4,FALSE))</f>
        <v>水野</v>
      </c>
      <c r="C3" s="222"/>
      <c r="D3" s="242" t="s">
        <v>63</v>
      </c>
      <c r="E3" s="260"/>
      <c r="F3" s="222"/>
      <c r="G3" s="222"/>
      <c r="H3" s="222"/>
      <c r="I3" s="222"/>
      <c r="J3" s="222"/>
      <c r="K3" s="261"/>
    </row>
    <row r="4" spans="1:16" ht="32.1" customHeight="1" x14ac:dyDescent="0.15">
      <c r="A4" s="20" t="s">
        <v>1</v>
      </c>
      <c r="B4" s="237" t="str">
        <f>貼り付け!G3</f>
        <v>PHT01</v>
      </c>
      <c r="C4" s="238" t="str">
        <f>IF(ISNA(VLOOKUP(B4,納入先名!A1:B155,2,FALSE)),"",VLOOKUP(B4,納入先名!A1:B155,2,FALSE))</f>
        <v>フィリピンタミヤ</v>
      </c>
      <c r="D4" s="237" t="str">
        <f>IF(ISNA(VLOOKUP(B4,納入先名,2,FALSE)),"",VLOOKUP(B4,納入先名,2,FALSE))</f>
        <v>フィリピンタミヤ</v>
      </c>
      <c r="E4" s="264"/>
      <c r="F4" s="264"/>
      <c r="G4" s="264"/>
      <c r="H4" s="264"/>
      <c r="I4" s="264"/>
      <c r="J4" s="264"/>
      <c r="K4" s="265"/>
    </row>
    <row r="5" spans="1:16" ht="32.1" customHeight="1" x14ac:dyDescent="0.15">
      <c r="A5" s="20" t="s">
        <v>2</v>
      </c>
      <c r="B5" s="241">
        <f>貼り付け!P3</f>
        <v>20170804</v>
      </c>
      <c r="C5" s="238" t="s">
        <v>58</v>
      </c>
      <c r="D5" s="136" t="s">
        <v>58</v>
      </c>
      <c r="E5" s="266" t="str">
        <f>貼り付け!S3</f>
        <v>8/7納期</v>
      </c>
      <c r="F5" s="267"/>
      <c r="G5" s="267"/>
      <c r="H5" s="267"/>
      <c r="I5" s="267"/>
      <c r="J5" s="267"/>
      <c r="K5" s="268"/>
    </row>
    <row r="6" spans="1:16" ht="32.1" customHeight="1" x14ac:dyDescent="0.15">
      <c r="A6" s="20" t="s">
        <v>60</v>
      </c>
      <c r="B6" s="113" t="str">
        <f>貼り付け!C3</f>
        <v>タミヤ様分</v>
      </c>
      <c r="C6" s="325" t="str">
        <f>IF(ISNA(VLOOKUP(B4,納入先名,8,FALSE)),"",VLOOKUP(B4,納入先名,8,FALSE))</f>
        <v>タミヤ様分</v>
      </c>
      <c r="D6" s="325"/>
      <c r="E6" s="325"/>
      <c r="F6" s="325"/>
      <c r="G6" s="325"/>
      <c r="H6" s="325"/>
      <c r="I6" s="325"/>
      <c r="J6" s="325"/>
      <c r="K6" s="326"/>
    </row>
    <row r="7" spans="1:16" ht="32.1" customHeight="1" x14ac:dyDescent="0.15">
      <c r="A7" s="20" t="s">
        <v>5</v>
      </c>
      <c r="B7" s="237" t="str">
        <f>貼り付け!C3</f>
        <v>タミヤ様分</v>
      </c>
      <c r="C7" s="259"/>
      <c r="D7" s="136" t="s">
        <v>59</v>
      </c>
      <c r="E7" s="200" t="str">
        <f>貼り付け!E3</f>
        <v>伊坂化成株式会社　藤枝</v>
      </c>
      <c r="F7" s="201"/>
      <c r="G7" s="201"/>
      <c r="H7" s="201"/>
      <c r="I7" s="78"/>
      <c r="J7" s="198" t="s">
        <v>610</v>
      </c>
      <c r="K7" s="199"/>
    </row>
    <row r="8" spans="1:16" ht="32.1" customHeight="1" x14ac:dyDescent="0.15">
      <c r="A8" s="20" t="s">
        <v>8</v>
      </c>
      <c r="B8" s="131" t="str">
        <f>貼り付け!H3&amp;"  "&amp;貼り付け!I3</f>
        <v xml:space="preserve">アオキトランス㈱興津ターミナル事務所  </v>
      </c>
      <c r="C8" s="100"/>
      <c r="D8" s="100"/>
      <c r="E8" s="100" t="s">
        <v>662</v>
      </c>
      <c r="F8" s="90"/>
      <c r="G8" s="133"/>
      <c r="H8" s="133"/>
      <c r="I8" s="133"/>
      <c r="J8" s="133"/>
      <c r="K8" s="134"/>
      <c r="P8" s="90" t="s">
        <v>614</v>
      </c>
    </row>
    <row r="9" spans="1:16" ht="32.1" customHeight="1" x14ac:dyDescent="0.15">
      <c r="A9" s="214" t="s">
        <v>9</v>
      </c>
      <c r="B9" s="319" t="str">
        <f>貼り付け!J3</f>
        <v>静岡市清水区興津清見寺１３７５－１６</v>
      </c>
      <c r="C9" s="320"/>
      <c r="D9" s="321"/>
      <c r="E9" s="322"/>
      <c r="F9" s="52" t="s">
        <v>137</v>
      </c>
      <c r="G9" s="132">
        <f>IF(ISNA(VLOOKUP(B4,納入先名,6,FALSE)),"",VLOOKUP(B4,納入先名,6,FALSE))</f>
        <v>424</v>
      </c>
      <c r="H9" s="132" t="s">
        <v>138</v>
      </c>
      <c r="I9" s="257" t="str">
        <f>IF(ISNA(VLOOKUP(B4,納入先名,7,FALSE)),"",VLOOKUP(B4,納入先名,7,FALSE))</f>
        <v>0206</v>
      </c>
      <c r="J9" s="257"/>
      <c r="K9" s="258"/>
      <c r="P9" s="90" t="s">
        <v>615</v>
      </c>
    </row>
    <row r="10" spans="1:16" ht="32.1" customHeight="1" thickBot="1" x14ac:dyDescent="0.2">
      <c r="A10" s="255"/>
      <c r="B10" s="329" t="str">
        <f>IF(貼り付け!K3="","",貼り付け!K3)</f>
        <v/>
      </c>
      <c r="C10" s="330"/>
      <c r="D10" s="330"/>
      <c r="E10" s="331"/>
      <c r="F10" s="53" t="s">
        <v>139</v>
      </c>
      <c r="G10" s="216" t="str">
        <f>貼り付け!L3</f>
        <v>054-369-6666</v>
      </c>
      <c r="H10" s="216"/>
      <c r="I10" s="216"/>
      <c r="J10" s="216"/>
      <c r="K10" s="217"/>
      <c r="M10" s="339" t="s">
        <v>638</v>
      </c>
      <c r="N10" s="340"/>
    </row>
    <row r="11" spans="1:16" ht="21" customHeight="1" thickBot="1" x14ac:dyDescent="0.2">
      <c r="A11" s="141"/>
      <c r="B11" s="141"/>
      <c r="C11" s="37"/>
      <c r="D11" s="282" t="str">
        <f>IF(C4=M13,M14,"")</f>
        <v/>
      </c>
      <c r="E11" s="328"/>
      <c r="F11" s="328"/>
      <c r="G11" s="328"/>
      <c r="H11" s="328"/>
      <c r="I11" s="328"/>
      <c r="J11" s="328"/>
      <c r="K11" s="328"/>
      <c r="M11" s="341"/>
      <c r="N11" s="342"/>
    </row>
    <row r="12" spans="1:16" ht="30" customHeight="1" x14ac:dyDescent="0.15">
      <c r="A12" s="283" t="s">
        <v>6</v>
      </c>
      <c r="B12" s="284"/>
      <c r="C12" s="135" t="s">
        <v>7</v>
      </c>
      <c r="D12" s="263" t="s">
        <v>10</v>
      </c>
      <c r="E12" s="286"/>
      <c r="F12" s="286"/>
      <c r="G12" s="286"/>
      <c r="H12" s="286"/>
      <c r="I12" s="286"/>
      <c r="J12" s="232"/>
      <c r="K12" s="312"/>
    </row>
    <row r="13" spans="1:16" ht="15" customHeight="1" x14ac:dyDescent="0.15">
      <c r="A13" s="187" t="str">
        <f>IF(貼り付け!M3="","",貼り付け!M3)</f>
        <v>S1-FPA3-U-EX</v>
      </c>
      <c r="B13" s="193"/>
      <c r="C13" s="189">
        <f>IF(貼り付け!R3="","",貼り付け!R3)</f>
        <v>3</v>
      </c>
      <c r="D13" s="179"/>
      <c r="E13" s="180"/>
      <c r="F13" s="180"/>
      <c r="G13" s="180"/>
      <c r="H13" s="180"/>
      <c r="I13" s="181"/>
      <c r="J13" s="305"/>
      <c r="K13" s="306"/>
      <c r="M13" t="s">
        <v>97</v>
      </c>
    </row>
    <row r="14" spans="1:16" ht="15" customHeight="1" thickBot="1" x14ac:dyDescent="0.2">
      <c r="A14" s="191" t="str">
        <f>IF(貼り付け!N3="","",貼り付け!N3)</f>
        <v>ＦＰＡ－３ (UN/16KG)</v>
      </c>
      <c r="B14" s="253"/>
      <c r="C14" s="190"/>
      <c r="D14" s="182"/>
      <c r="E14" s="183"/>
      <c r="F14" s="183"/>
      <c r="G14" s="183"/>
      <c r="H14" s="183"/>
      <c r="I14" s="184"/>
      <c r="J14" s="305"/>
      <c r="K14" s="306"/>
      <c r="M14" s="32" t="s">
        <v>72</v>
      </c>
    </row>
    <row r="15" spans="1:16" ht="15" customHeight="1" thickBot="1" x14ac:dyDescent="0.2">
      <c r="A15" s="187" t="str">
        <f>IF(貼り付け!M4="","",貼り付け!M4)</f>
        <v/>
      </c>
      <c r="B15" s="193"/>
      <c r="C15" s="189" t="str">
        <f>IF(貼り付け!R4="","",貼り付け!R4)</f>
        <v/>
      </c>
      <c r="D15" s="179"/>
      <c r="E15" s="180"/>
      <c r="F15" s="180"/>
      <c r="G15" s="180"/>
      <c r="H15" s="180"/>
      <c r="I15" s="181"/>
      <c r="J15" s="305"/>
      <c r="K15" s="306"/>
      <c r="M15" s="82" t="s">
        <v>611</v>
      </c>
      <c r="N15" s="83" t="s">
        <v>612</v>
      </c>
    </row>
    <row r="16" spans="1:16" ht="15" customHeight="1" x14ac:dyDescent="0.15">
      <c r="A16" s="196" t="str">
        <f>IF(貼り付け!N4="","",貼り付け!N4)</f>
        <v/>
      </c>
      <c r="B16" s="254"/>
      <c r="C16" s="190"/>
      <c r="D16" s="182"/>
      <c r="E16" s="183"/>
      <c r="F16" s="183"/>
      <c r="G16" s="183"/>
      <c r="H16" s="183"/>
      <c r="I16" s="184"/>
      <c r="J16" s="305"/>
      <c r="K16" s="306"/>
      <c r="M16" s="79" t="str">
        <f>IF(貼り付け!M3="","",貼り付け!M3)</f>
        <v>S1-FPA3-U-EX</v>
      </c>
    </row>
    <row r="17" spans="1:18" ht="15" customHeight="1" x14ac:dyDescent="0.15">
      <c r="A17" s="187" t="str">
        <f>IF(貼り付け!M5="","",貼り付け!M5)</f>
        <v/>
      </c>
      <c r="B17" s="193"/>
      <c r="C17" s="189" t="str">
        <f>IF(貼り付け!R5="","",貼り付け!R5)</f>
        <v/>
      </c>
      <c r="D17" s="179"/>
      <c r="E17" s="180"/>
      <c r="F17" s="180"/>
      <c r="G17" s="180"/>
      <c r="H17" s="180"/>
      <c r="I17" s="181"/>
      <c r="J17" s="305"/>
      <c r="K17" s="306"/>
      <c r="M17" s="80" t="str">
        <f>IF(貼り付け!M4="","",貼り付け!M4)</f>
        <v/>
      </c>
    </row>
    <row r="18" spans="1:18" ht="15" customHeight="1" x14ac:dyDescent="0.15">
      <c r="A18" s="196" t="str">
        <f>IF(貼り付け!N5="","",貼り付け!N5)</f>
        <v/>
      </c>
      <c r="B18" s="254"/>
      <c r="C18" s="190"/>
      <c r="D18" s="182"/>
      <c r="E18" s="183"/>
      <c r="F18" s="183"/>
      <c r="G18" s="183"/>
      <c r="H18" s="183"/>
      <c r="I18" s="184"/>
      <c r="J18" s="305"/>
      <c r="K18" s="306"/>
      <c r="M18" s="80" t="str">
        <f>IF(貼り付け!M5="","",貼り付け!M5)</f>
        <v/>
      </c>
    </row>
    <row r="19" spans="1:18" ht="15" customHeight="1" x14ac:dyDescent="0.15">
      <c r="A19" s="187" t="str">
        <f>IF(貼り付け!M6="","",貼り付け!M6)</f>
        <v/>
      </c>
      <c r="B19" s="193"/>
      <c r="C19" s="189" t="str">
        <f>IF(貼り付け!R6="","",貼り付け!R6)</f>
        <v/>
      </c>
      <c r="D19" s="179"/>
      <c r="E19" s="180"/>
      <c r="F19" s="180"/>
      <c r="G19" s="180"/>
      <c r="H19" s="180"/>
      <c r="I19" s="181"/>
      <c r="J19" s="305"/>
      <c r="K19" s="306"/>
      <c r="M19" s="80" t="str">
        <f>IF(貼り付け!M6="","",貼り付け!M6)</f>
        <v/>
      </c>
    </row>
    <row r="20" spans="1:18" ht="15" customHeight="1" x14ac:dyDescent="0.15">
      <c r="A20" s="191" t="str">
        <f>IF(貼り付け!N6="","",貼り付け!N6)</f>
        <v/>
      </c>
      <c r="B20" s="253"/>
      <c r="C20" s="190"/>
      <c r="D20" s="182"/>
      <c r="E20" s="183"/>
      <c r="F20" s="183"/>
      <c r="G20" s="183"/>
      <c r="H20" s="183"/>
      <c r="I20" s="184"/>
      <c r="J20" s="305"/>
      <c r="K20" s="306"/>
      <c r="M20" s="80" t="str">
        <f>IF(貼り付け!M7="","",貼り付け!M7)</f>
        <v/>
      </c>
    </row>
    <row r="21" spans="1:18" ht="15" customHeight="1" x14ac:dyDescent="0.15">
      <c r="A21" s="187" t="str">
        <f>IF(貼り付け!M7="","",貼り付け!M7)</f>
        <v/>
      </c>
      <c r="B21" s="193"/>
      <c r="C21" s="189" t="str">
        <f>IF(貼り付け!R7="","",貼り付け!R7)</f>
        <v/>
      </c>
      <c r="D21" s="179"/>
      <c r="E21" s="180"/>
      <c r="F21" s="180"/>
      <c r="G21" s="180"/>
      <c r="H21" s="180"/>
      <c r="I21" s="181"/>
      <c r="J21" s="305"/>
      <c r="K21" s="306"/>
      <c r="M21" s="80" t="str">
        <f>IF(貼り付け!M8="","",貼り付け!M8)</f>
        <v/>
      </c>
    </row>
    <row r="22" spans="1:18" ht="15" customHeight="1" x14ac:dyDescent="0.15">
      <c r="A22" s="191" t="str">
        <f>IF(貼り付け!N7="","",貼り付け!N7)</f>
        <v/>
      </c>
      <c r="B22" s="253"/>
      <c r="C22" s="190"/>
      <c r="D22" s="182"/>
      <c r="E22" s="183"/>
      <c r="F22" s="183"/>
      <c r="G22" s="183"/>
      <c r="H22" s="183"/>
      <c r="I22" s="184"/>
      <c r="J22" s="305"/>
      <c r="K22" s="306"/>
      <c r="M22" s="80" t="str">
        <f>IF(貼り付け!M9="","",貼り付け!M9)</f>
        <v/>
      </c>
    </row>
    <row r="23" spans="1:18" ht="15" customHeight="1" x14ac:dyDescent="0.15">
      <c r="A23" s="187" t="str">
        <f>IF(貼り付け!M8="","",貼り付け!M8)</f>
        <v/>
      </c>
      <c r="B23" s="193"/>
      <c r="C23" s="189" t="str">
        <f>IF(貼り付け!R8="","",貼り付け!R8)</f>
        <v/>
      </c>
      <c r="D23" s="179"/>
      <c r="E23" s="180"/>
      <c r="F23" s="180"/>
      <c r="G23" s="180"/>
      <c r="H23" s="180"/>
      <c r="I23" s="181"/>
      <c r="J23" s="305"/>
      <c r="K23" s="306"/>
      <c r="M23" s="80" t="str">
        <f>IF(貼り付け!M10="","",貼り付け!M10)</f>
        <v/>
      </c>
    </row>
    <row r="24" spans="1:18" ht="15" customHeight="1" x14ac:dyDescent="0.15">
      <c r="A24" s="323" t="str">
        <f>IF(貼り付け!N8="","",貼り付け!N8)</f>
        <v/>
      </c>
      <c r="B24" s="324"/>
      <c r="C24" s="190"/>
      <c r="D24" s="182"/>
      <c r="E24" s="183"/>
      <c r="F24" s="183"/>
      <c r="G24" s="183"/>
      <c r="H24" s="183"/>
      <c r="I24" s="184"/>
      <c r="J24" s="305"/>
      <c r="K24" s="306"/>
      <c r="M24" s="80" t="str">
        <f>IF(貼り付け!M11="","",貼り付け!M11)</f>
        <v/>
      </c>
    </row>
    <row r="25" spans="1:18" ht="15" customHeight="1" x14ac:dyDescent="0.15">
      <c r="A25" s="187" t="str">
        <f>IF(貼り付け!M9="","",貼り付け!M9)</f>
        <v/>
      </c>
      <c r="B25" s="193"/>
      <c r="C25" s="189" t="str">
        <f>IF(貼り付け!R9="","",貼り付け!R9)</f>
        <v/>
      </c>
      <c r="D25" s="179"/>
      <c r="E25" s="180"/>
      <c r="F25" s="180"/>
      <c r="G25" s="180"/>
      <c r="H25" s="180"/>
      <c r="I25" s="181"/>
      <c r="J25" s="305"/>
      <c r="K25" s="306"/>
      <c r="M25" s="80" t="str">
        <f>IF(貼り付け!M12="","",貼り付け!M12)</f>
        <v/>
      </c>
    </row>
    <row r="26" spans="1:18" ht="15" customHeight="1" x14ac:dyDescent="0.15">
      <c r="A26" s="191" t="str">
        <f>IF(貼り付け!N9="","",貼り付け!N9)</f>
        <v/>
      </c>
      <c r="B26" s="253"/>
      <c r="C26" s="190"/>
      <c r="D26" s="182"/>
      <c r="E26" s="183"/>
      <c r="F26" s="183"/>
      <c r="G26" s="183"/>
      <c r="H26" s="183"/>
      <c r="I26" s="184"/>
      <c r="J26" s="305"/>
      <c r="K26" s="306"/>
      <c r="M26" s="80" t="str">
        <f>IF(貼り付け!M13="","",貼り付け!M13)</f>
        <v/>
      </c>
    </row>
    <row r="27" spans="1:18" ht="15" customHeight="1" thickBot="1" x14ac:dyDescent="0.2">
      <c r="A27" s="187" t="str">
        <f>IF(貼り付け!M10="","",貼り付け!M10)</f>
        <v/>
      </c>
      <c r="B27" s="193"/>
      <c r="C27" s="189" t="str">
        <f>IF(貼り付け!R10="","",貼り付け!R10)</f>
        <v/>
      </c>
      <c r="D27" s="179"/>
      <c r="E27" s="180"/>
      <c r="F27" s="180"/>
      <c r="G27" s="180"/>
      <c r="H27" s="180"/>
      <c r="I27" s="181"/>
      <c r="J27" s="305"/>
      <c r="K27" s="306"/>
      <c r="M27" s="81" t="str">
        <f>IF(貼り付け!M14="","",貼り付け!M14)</f>
        <v/>
      </c>
    </row>
    <row r="28" spans="1:18" ht="15" customHeight="1" x14ac:dyDescent="0.15">
      <c r="A28" s="191" t="str">
        <f>IF(貼り付け!N10="","",貼り付け!N10)</f>
        <v/>
      </c>
      <c r="B28" s="253"/>
      <c r="C28" s="190"/>
      <c r="D28" s="182"/>
      <c r="E28" s="183"/>
      <c r="F28" s="183"/>
      <c r="G28" s="183"/>
      <c r="H28" s="183"/>
      <c r="I28" s="184"/>
      <c r="J28" s="305"/>
      <c r="K28" s="306"/>
    </row>
    <row r="29" spans="1:18" ht="15" customHeight="1" x14ac:dyDescent="0.15">
      <c r="A29" s="187" t="str">
        <f>IF(貼り付け!M11="","",貼り付け!M11)</f>
        <v/>
      </c>
      <c r="B29" s="193"/>
      <c r="C29" s="189" t="str">
        <f>IF(貼り付け!R11="","",貼り付け!R11)</f>
        <v/>
      </c>
      <c r="D29" s="333" t="s">
        <v>650</v>
      </c>
      <c r="E29" s="334"/>
      <c r="F29" s="334"/>
      <c r="G29" s="334"/>
      <c r="H29" s="334"/>
      <c r="I29" s="335"/>
      <c r="J29" s="305"/>
      <c r="K29" s="306"/>
      <c r="M29" s="140" t="s">
        <v>639</v>
      </c>
    </row>
    <row r="30" spans="1:18" ht="15" customHeight="1" x14ac:dyDescent="0.15">
      <c r="A30" s="191" t="str">
        <f>IF(貼り付け!N11="","",貼り付け!N11)</f>
        <v/>
      </c>
      <c r="B30" s="253"/>
      <c r="C30" s="190"/>
      <c r="D30" s="336"/>
      <c r="E30" s="337"/>
      <c r="F30" s="337"/>
      <c r="G30" s="337"/>
      <c r="H30" s="337"/>
      <c r="I30" s="338"/>
      <c r="J30" s="305"/>
      <c r="K30" s="306"/>
      <c r="M30" s="152" t="s">
        <v>637</v>
      </c>
      <c r="N30" s="139"/>
      <c r="O30" s="139"/>
      <c r="P30" s="139"/>
      <c r="Q30" s="137"/>
      <c r="R30" s="137"/>
    </row>
    <row r="31" spans="1:18" ht="15" customHeight="1" x14ac:dyDescent="0.15">
      <c r="A31" s="187" t="str">
        <f>IF(貼り付け!M12="","",貼り付け!M12)</f>
        <v/>
      </c>
      <c r="B31" s="193"/>
      <c r="C31" s="189" t="str">
        <f>IF(貼り付け!R12="","",貼り付け!R12)</f>
        <v/>
      </c>
      <c r="D31" s="179"/>
      <c r="E31" s="180"/>
      <c r="F31" s="180"/>
      <c r="G31" s="180"/>
      <c r="H31" s="180"/>
      <c r="I31" s="181"/>
      <c r="J31" s="305"/>
      <c r="K31" s="306"/>
      <c r="M31" s="139"/>
      <c r="N31" s="139"/>
      <c r="O31" s="139"/>
      <c r="P31" s="139"/>
      <c r="Q31" s="137"/>
      <c r="R31" s="137"/>
    </row>
    <row r="32" spans="1:18" ht="15" customHeight="1" x14ac:dyDescent="0.15">
      <c r="A32" s="191" t="str">
        <f>IF(貼り付け!N12="","",貼り付け!N12)</f>
        <v/>
      </c>
      <c r="B32" s="253"/>
      <c r="C32" s="190"/>
      <c r="D32" s="182"/>
      <c r="E32" s="183"/>
      <c r="F32" s="183"/>
      <c r="G32" s="183"/>
      <c r="H32" s="183"/>
      <c r="I32" s="184"/>
      <c r="J32" s="305"/>
      <c r="K32" s="306"/>
      <c r="M32" s="139"/>
      <c r="N32" s="139"/>
      <c r="O32" s="139"/>
      <c r="P32" s="139"/>
      <c r="Q32" s="137"/>
      <c r="R32" s="137"/>
    </row>
    <row r="33" spans="1:18" ht="15" customHeight="1" x14ac:dyDescent="0.15">
      <c r="A33" s="187" t="str">
        <f>IF(貼り付け!M13="","",貼り付け!M13)</f>
        <v/>
      </c>
      <c r="B33" s="193"/>
      <c r="C33" s="189" t="str">
        <f>IF(貼り付け!R13="","",貼り付け!R13)</f>
        <v/>
      </c>
      <c r="D33" s="179"/>
      <c r="E33" s="180"/>
      <c r="F33" s="180"/>
      <c r="G33" s="180"/>
      <c r="H33" s="180"/>
      <c r="I33" s="181"/>
      <c r="J33" s="305"/>
      <c r="K33" s="306"/>
      <c r="M33" s="139"/>
      <c r="N33" s="139"/>
      <c r="O33" s="139"/>
      <c r="P33" s="139"/>
      <c r="Q33" s="137"/>
      <c r="R33" s="137"/>
    </row>
    <row r="34" spans="1:18" ht="15" customHeight="1" x14ac:dyDescent="0.15">
      <c r="A34" s="191" t="str">
        <f>IF(貼り付け!N13="","",貼り付け!N13)</f>
        <v/>
      </c>
      <c r="B34" s="253"/>
      <c r="C34" s="190"/>
      <c r="D34" s="182"/>
      <c r="E34" s="183"/>
      <c r="F34" s="183"/>
      <c r="G34" s="183"/>
      <c r="H34" s="183"/>
      <c r="I34" s="184"/>
      <c r="J34" s="305"/>
      <c r="K34" s="306"/>
      <c r="M34" s="139"/>
      <c r="N34" s="139"/>
      <c r="O34" s="139"/>
      <c r="P34" s="139"/>
    </row>
    <row r="35" spans="1:18" ht="15" customHeight="1" x14ac:dyDescent="0.15">
      <c r="A35" s="187" t="str">
        <f>IF(貼り付け!M14="","",貼り付け!M14)</f>
        <v/>
      </c>
      <c r="B35" s="193"/>
      <c r="C35" s="189" t="str">
        <f>IF(貼り付け!R14="","",貼り付け!R14)</f>
        <v/>
      </c>
      <c r="D35" s="179"/>
      <c r="E35" s="180"/>
      <c r="F35" s="180"/>
      <c r="G35" s="180"/>
      <c r="H35" s="180"/>
      <c r="I35" s="181"/>
      <c r="J35" s="305"/>
      <c r="K35" s="306"/>
    </row>
    <row r="36" spans="1:18" ht="15" customHeight="1" thickBot="1" x14ac:dyDescent="0.2">
      <c r="A36" s="249" t="str">
        <f>IF(貼り付け!N14="","",貼り付け!N14)</f>
        <v/>
      </c>
      <c r="B36" s="250"/>
      <c r="C36" s="248"/>
      <c r="D36" s="309"/>
      <c r="E36" s="310"/>
      <c r="F36" s="310"/>
      <c r="G36" s="310"/>
      <c r="H36" s="310"/>
      <c r="I36" s="311"/>
      <c r="J36" s="307"/>
      <c r="K36" s="308"/>
    </row>
    <row r="37" spans="1:18" ht="30" customHeight="1" thickBot="1" x14ac:dyDescent="0.2">
      <c r="A37" s="16" t="s">
        <v>64</v>
      </c>
      <c r="B37" s="313">
        <f>SUM(C13:C36)</f>
        <v>3</v>
      </c>
      <c r="C37" s="314"/>
      <c r="D37" s="315" t="s">
        <v>66</v>
      </c>
      <c r="E37" s="291"/>
      <c r="F37" s="316"/>
      <c r="G37" s="317"/>
      <c r="H37" s="317"/>
      <c r="I37" s="317"/>
      <c r="J37" s="317"/>
      <c r="K37" s="318"/>
    </row>
    <row r="38" spans="1:18" x14ac:dyDescent="0.15">
      <c r="D38" s="274" t="s">
        <v>2</v>
      </c>
      <c r="E38" s="275"/>
      <c r="F38" s="173">
        <f>B5</f>
        <v>20170804</v>
      </c>
      <c r="G38" s="174"/>
      <c r="H38" s="174"/>
      <c r="I38" s="174"/>
      <c r="J38" s="174"/>
      <c r="K38" s="175"/>
    </row>
    <row r="39" spans="1:18" ht="14.25" customHeight="1" x14ac:dyDescent="0.15">
      <c r="A39" s="332"/>
      <c r="B39" s="332"/>
      <c r="C39" s="332"/>
      <c r="D39" s="171"/>
      <c r="E39" s="172"/>
      <c r="F39" s="176"/>
      <c r="G39" s="177"/>
      <c r="H39" s="177"/>
      <c r="I39" s="177"/>
      <c r="J39" s="177"/>
      <c r="K39" s="178"/>
    </row>
    <row r="40" spans="1:18" ht="13.5" customHeight="1" x14ac:dyDescent="0.15">
      <c r="A40" s="332"/>
      <c r="B40" s="332"/>
      <c r="C40" s="332"/>
    </row>
    <row r="41" spans="1:18" ht="26.25" customHeight="1" x14ac:dyDescent="0.15">
      <c r="A41" s="51"/>
    </row>
    <row r="56" spans="15:15" x14ac:dyDescent="0.15">
      <c r="O56" s="83"/>
    </row>
  </sheetData>
  <mergeCells count="91">
    <mergeCell ref="M10:N11"/>
    <mergeCell ref="A1:K1"/>
    <mergeCell ref="B2:C2"/>
    <mergeCell ref="D2:E2"/>
    <mergeCell ref="F2:K2"/>
    <mergeCell ref="B3:C3"/>
    <mergeCell ref="D3:E3"/>
    <mergeCell ref="F3:K3"/>
    <mergeCell ref="D11:K11"/>
    <mergeCell ref="B4:C4"/>
    <mergeCell ref="D4:K4"/>
    <mergeCell ref="B5:C5"/>
    <mergeCell ref="E5:K5"/>
    <mergeCell ref="C6:K6"/>
    <mergeCell ref="B7:C7"/>
    <mergeCell ref="E7:H7"/>
    <mergeCell ref="J7:K7"/>
    <mergeCell ref="A9:A10"/>
    <mergeCell ref="B9:E9"/>
    <mergeCell ref="I9:K9"/>
    <mergeCell ref="B10:E10"/>
    <mergeCell ref="G10:K10"/>
    <mergeCell ref="A12:B12"/>
    <mergeCell ref="D12:I12"/>
    <mergeCell ref="J12:K12"/>
    <mergeCell ref="A13:B13"/>
    <mergeCell ref="C13:C14"/>
    <mergeCell ref="D13:I14"/>
    <mergeCell ref="J13:K14"/>
    <mergeCell ref="A14:B14"/>
    <mergeCell ref="A17:B17"/>
    <mergeCell ref="C17:C18"/>
    <mergeCell ref="D17:I18"/>
    <mergeCell ref="J17:K18"/>
    <mergeCell ref="A18:B18"/>
    <mergeCell ref="A15:B15"/>
    <mergeCell ref="C15:C16"/>
    <mergeCell ref="D15:I16"/>
    <mergeCell ref="J15:K16"/>
    <mergeCell ref="A16:B16"/>
    <mergeCell ref="A21:B21"/>
    <mergeCell ref="C21:C22"/>
    <mergeCell ref="D21:I22"/>
    <mergeCell ref="J21:K22"/>
    <mergeCell ref="A22:B22"/>
    <mergeCell ref="A19:B19"/>
    <mergeCell ref="C19:C20"/>
    <mergeCell ref="D19:I20"/>
    <mergeCell ref="J19:K20"/>
    <mergeCell ref="A20:B20"/>
    <mergeCell ref="A25:B25"/>
    <mergeCell ref="C25:C26"/>
    <mergeCell ref="D25:I26"/>
    <mergeCell ref="J25:K26"/>
    <mergeCell ref="A26:B26"/>
    <mergeCell ref="A23:B23"/>
    <mergeCell ref="C23:C24"/>
    <mergeCell ref="D23:I24"/>
    <mergeCell ref="J23:K24"/>
    <mergeCell ref="A24:B24"/>
    <mergeCell ref="A29:B29"/>
    <mergeCell ref="C29:C30"/>
    <mergeCell ref="D29:I30"/>
    <mergeCell ref="J29:K30"/>
    <mergeCell ref="A30:B30"/>
    <mergeCell ref="A27:B27"/>
    <mergeCell ref="C27:C28"/>
    <mergeCell ref="D27:I28"/>
    <mergeCell ref="J27:K28"/>
    <mergeCell ref="A28:B28"/>
    <mergeCell ref="A33:B33"/>
    <mergeCell ref="C33:C34"/>
    <mergeCell ref="D33:I34"/>
    <mergeCell ref="J33:K34"/>
    <mergeCell ref="A34:B34"/>
    <mergeCell ref="A31:B31"/>
    <mergeCell ref="C31:C32"/>
    <mergeCell ref="D31:I32"/>
    <mergeCell ref="J31:K32"/>
    <mergeCell ref="A32:B32"/>
    <mergeCell ref="D38:E39"/>
    <mergeCell ref="F38:K39"/>
    <mergeCell ref="A35:B35"/>
    <mergeCell ref="C35:C36"/>
    <mergeCell ref="D35:I36"/>
    <mergeCell ref="J35:K36"/>
    <mergeCell ref="A36:B36"/>
    <mergeCell ref="B37:C37"/>
    <mergeCell ref="D37:E37"/>
    <mergeCell ref="F37:K37"/>
    <mergeCell ref="A39:C40"/>
  </mergeCells>
  <phoneticPr fontId="1"/>
  <pageMargins left="0.70866141732283472" right="0.70866141732283472" top="0.74803149606299213" bottom="0.74803149606299213" header="0.31496062992125984" footer="0.31496062992125984"/>
  <pageSetup paperSize="9" scale="9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zoomScaleNormal="100" workbookViewId="0">
      <selection activeCell="C19" sqref="C19:C20"/>
    </sheetView>
  </sheetViews>
  <sheetFormatPr defaultRowHeight="13.5" x14ac:dyDescent="0.15"/>
  <cols>
    <col min="1" max="1" width="12.25" customWidth="1"/>
    <col min="2" max="2" width="23.625" customWidth="1"/>
    <col min="3" max="3" width="8.5" customWidth="1"/>
    <col min="4" max="5" width="8.625" customWidth="1"/>
    <col min="6" max="6" width="5.375" customWidth="1"/>
    <col min="7" max="7" width="4.875" customWidth="1"/>
    <col min="8" max="8" width="3.25" customWidth="1"/>
    <col min="9" max="9" width="2.625" customWidth="1"/>
    <col min="10" max="10" width="2" customWidth="1"/>
    <col min="11" max="11" width="7" customWidth="1"/>
    <col min="13" max="13" width="18.75" customWidth="1"/>
    <col min="16" max="16" width="5.375" customWidth="1"/>
  </cols>
  <sheetData>
    <row r="1" spans="1:16" ht="30" customHeight="1" thickBot="1" x14ac:dyDescent="0.2">
      <c r="A1" s="327" t="s">
        <v>67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</row>
    <row r="2" spans="1:16" ht="23.25" customHeight="1" x14ac:dyDescent="0.15">
      <c r="A2" s="54" t="s">
        <v>4</v>
      </c>
      <c r="B2" s="231">
        <f>貼り付け!B3</f>
        <v>20170802</v>
      </c>
      <c r="C2" s="262" t="s">
        <v>3</v>
      </c>
      <c r="D2" s="263" t="s">
        <v>3</v>
      </c>
      <c r="E2" s="211"/>
      <c r="F2" s="234" t="str">
        <f>貼り付け!A3</f>
        <v>J708000739</v>
      </c>
      <c r="G2" s="235"/>
      <c r="H2" s="235"/>
      <c r="I2" s="235"/>
      <c r="J2" s="235"/>
      <c r="K2" s="236"/>
    </row>
    <row r="3" spans="1:16" ht="28.5" customHeight="1" x14ac:dyDescent="0.15">
      <c r="A3" s="20" t="s">
        <v>62</v>
      </c>
      <c r="B3" s="222" t="str">
        <f>IF(ISNA(VLOOKUP(B4,納入先名,4,FALSE)),"",VLOOKUP(B4,納入先名,4,FALSE))</f>
        <v>水野</v>
      </c>
      <c r="C3" s="222"/>
      <c r="D3" s="242" t="s">
        <v>63</v>
      </c>
      <c r="E3" s="260"/>
      <c r="F3" s="222"/>
      <c r="G3" s="222"/>
      <c r="H3" s="222"/>
      <c r="I3" s="222"/>
      <c r="J3" s="222"/>
      <c r="K3" s="261"/>
    </row>
    <row r="4" spans="1:16" ht="24" customHeight="1" x14ac:dyDescent="0.15">
      <c r="A4" s="20" t="s">
        <v>1</v>
      </c>
      <c r="B4" s="237" t="str">
        <f>貼り付け!G3</f>
        <v>PHT01</v>
      </c>
      <c r="C4" s="238" t="str">
        <f>IF(ISNA(VLOOKUP(B4,納入先名!A1:B155,2,FALSE)),"",VLOOKUP(B4,納入先名!A1:B155,2,FALSE))</f>
        <v>フィリピンタミヤ</v>
      </c>
      <c r="D4" s="237" t="str">
        <f>IF(ISNA(VLOOKUP(B4,納入先名,2,FALSE)),"",VLOOKUP(B4,納入先名,2,FALSE))</f>
        <v>フィリピンタミヤ</v>
      </c>
      <c r="E4" s="264"/>
      <c r="F4" s="264"/>
      <c r="G4" s="264"/>
      <c r="H4" s="264"/>
      <c r="I4" s="264"/>
      <c r="J4" s="264"/>
      <c r="K4" s="265"/>
    </row>
    <row r="5" spans="1:16" ht="25.5" customHeight="1" x14ac:dyDescent="0.15">
      <c r="A5" s="20" t="s">
        <v>2</v>
      </c>
      <c r="B5" s="241">
        <f>貼り付け!P3</f>
        <v>20170804</v>
      </c>
      <c r="C5" s="238" t="s">
        <v>58</v>
      </c>
      <c r="D5" s="112" t="s">
        <v>58</v>
      </c>
      <c r="E5" s="266" t="str">
        <f>貼り付け!S3</f>
        <v>8/7納期</v>
      </c>
      <c r="F5" s="267"/>
      <c r="G5" s="267"/>
      <c r="H5" s="267"/>
      <c r="I5" s="267"/>
      <c r="J5" s="267"/>
      <c r="K5" s="268"/>
    </row>
    <row r="6" spans="1:16" ht="26.25" customHeight="1" x14ac:dyDescent="0.15">
      <c r="A6" s="20" t="s">
        <v>60</v>
      </c>
      <c r="B6" s="99" t="str">
        <f>貼り付け!C3</f>
        <v>タミヤ様分</v>
      </c>
      <c r="C6" s="246" t="str">
        <f>IF(ISNA(VLOOKUP(B4,納入先名,8,FALSE)),"",VLOOKUP(B4,納入先名,8,FALSE))</f>
        <v>タミヤ様分</v>
      </c>
      <c r="D6" s="246"/>
      <c r="E6" s="246"/>
      <c r="F6" s="246"/>
      <c r="G6" s="246"/>
      <c r="H6" s="246"/>
      <c r="I6" s="246"/>
      <c r="J6" s="246"/>
      <c r="K6" s="247"/>
    </row>
    <row r="7" spans="1:16" ht="28.5" customHeight="1" x14ac:dyDescent="0.15">
      <c r="A7" s="20" t="s">
        <v>5</v>
      </c>
      <c r="B7" s="237" t="str">
        <f>貼り付け!C3</f>
        <v>タミヤ様分</v>
      </c>
      <c r="C7" s="259"/>
      <c r="D7" s="112" t="s">
        <v>59</v>
      </c>
      <c r="E7" s="200" t="str">
        <f>貼り付け!E3</f>
        <v>伊坂化成株式会社　藤枝</v>
      </c>
      <c r="F7" s="201"/>
      <c r="G7" s="201"/>
      <c r="H7" s="201"/>
      <c r="I7" s="78"/>
      <c r="J7" s="198" t="s">
        <v>610</v>
      </c>
      <c r="K7" s="199"/>
      <c r="M7" s="30"/>
    </row>
    <row r="8" spans="1:16" ht="28.5" customHeight="1" x14ac:dyDescent="0.15">
      <c r="A8" s="20" t="s">
        <v>8</v>
      </c>
      <c r="B8" s="110" t="str">
        <f>貼り付け!H3&amp;"  "&amp;貼り付け!I3</f>
        <v xml:space="preserve">アオキトランス㈱興津ターミナル事務所  </v>
      </c>
      <c r="C8" s="100"/>
      <c r="D8" s="100"/>
      <c r="E8" s="100"/>
      <c r="F8" s="90" t="s">
        <v>614</v>
      </c>
      <c r="G8" s="108"/>
      <c r="H8" s="108"/>
      <c r="I8" s="108"/>
      <c r="J8" s="108"/>
      <c r="K8" s="109"/>
      <c r="P8" s="90" t="s">
        <v>614</v>
      </c>
    </row>
    <row r="9" spans="1:16" ht="28.5" customHeight="1" x14ac:dyDescent="0.15">
      <c r="A9" s="214" t="s">
        <v>9</v>
      </c>
      <c r="B9" s="319" t="str">
        <f>貼り付け!J3</f>
        <v>静岡市清水区興津清見寺１３７５－１６</v>
      </c>
      <c r="C9" s="320"/>
      <c r="D9" s="321"/>
      <c r="E9" s="322"/>
      <c r="F9" s="52" t="s">
        <v>137</v>
      </c>
      <c r="G9" s="111">
        <f>IF(ISNA(VLOOKUP(B4,納入先名,6,FALSE)),"",VLOOKUP(B4,納入先名,6,FALSE))</f>
        <v>424</v>
      </c>
      <c r="H9" s="111" t="s">
        <v>138</v>
      </c>
      <c r="I9" s="257" t="str">
        <f>IF(ISNA(VLOOKUP(B4,納入先名,7,FALSE)),"",VLOOKUP(B4,納入先名,7,FALSE))</f>
        <v>0206</v>
      </c>
      <c r="J9" s="257"/>
      <c r="K9" s="258"/>
      <c r="P9" s="90" t="s">
        <v>615</v>
      </c>
    </row>
    <row r="10" spans="1:16" ht="22.5" customHeight="1" thickBot="1" x14ac:dyDescent="0.2">
      <c r="A10" s="255"/>
      <c r="B10" s="329" t="str">
        <f>IF(貼り付け!K3="","",貼り付け!K3)</f>
        <v/>
      </c>
      <c r="C10" s="330"/>
      <c r="D10" s="330"/>
      <c r="E10" s="331"/>
      <c r="F10" s="53" t="s">
        <v>65</v>
      </c>
      <c r="G10" s="216" t="str">
        <f>貼り付け!L3</f>
        <v>054-369-6666</v>
      </c>
      <c r="H10" s="216"/>
      <c r="I10" s="216"/>
      <c r="J10" s="216"/>
      <c r="K10" s="217"/>
    </row>
    <row r="11" spans="1:16" ht="13.5" customHeight="1" thickBot="1" x14ac:dyDescent="0.2">
      <c r="A11" s="7"/>
      <c r="B11" s="7"/>
      <c r="C11" s="37"/>
      <c r="D11" s="282" t="str">
        <f>IF(C4=M13,M14,"")</f>
        <v/>
      </c>
      <c r="E11" s="328"/>
      <c r="F11" s="328"/>
      <c r="G11" s="328"/>
      <c r="H11" s="328"/>
      <c r="I11" s="328"/>
      <c r="J11" s="328"/>
      <c r="K11" s="328"/>
    </row>
    <row r="12" spans="1:16" ht="24" customHeight="1" x14ac:dyDescent="0.15">
      <c r="A12" s="283" t="s">
        <v>6</v>
      </c>
      <c r="B12" s="284"/>
      <c r="C12" s="130" t="s">
        <v>7</v>
      </c>
      <c r="D12" s="263" t="s">
        <v>10</v>
      </c>
      <c r="E12" s="286"/>
      <c r="F12" s="286"/>
      <c r="G12" s="286"/>
      <c r="H12" s="286"/>
      <c r="I12" s="286"/>
      <c r="J12" s="232"/>
      <c r="K12" s="312"/>
    </row>
    <row r="13" spans="1:16" ht="15" customHeight="1" x14ac:dyDescent="0.15">
      <c r="A13" s="187" t="str">
        <f>IF(貼り付け!M3="","",貼り付け!M3)</f>
        <v>S1-FPA3-U-EX</v>
      </c>
      <c r="B13" s="193"/>
      <c r="C13" s="189">
        <f>IF(貼り付け!R3="","",貼り付け!R3)</f>
        <v>3</v>
      </c>
      <c r="D13" s="179"/>
      <c r="E13" s="180"/>
      <c r="F13" s="180"/>
      <c r="G13" s="180"/>
      <c r="H13" s="180"/>
      <c r="I13" s="181"/>
      <c r="J13" s="305"/>
      <c r="K13" s="306"/>
      <c r="M13" t="s">
        <v>97</v>
      </c>
    </row>
    <row r="14" spans="1:16" ht="15" customHeight="1" thickBot="1" x14ac:dyDescent="0.2">
      <c r="A14" s="191" t="str">
        <f>IF(貼り付け!N3="","",貼り付け!N3)</f>
        <v>ＦＰＡ－３ (UN/16KG)</v>
      </c>
      <c r="B14" s="253"/>
      <c r="C14" s="190"/>
      <c r="D14" s="182"/>
      <c r="E14" s="183"/>
      <c r="F14" s="183"/>
      <c r="G14" s="183"/>
      <c r="H14" s="183"/>
      <c r="I14" s="184"/>
      <c r="J14" s="305"/>
      <c r="K14" s="306"/>
      <c r="M14" s="32" t="s">
        <v>72</v>
      </c>
    </row>
    <row r="15" spans="1:16" ht="15" customHeight="1" thickBot="1" x14ac:dyDescent="0.2">
      <c r="A15" s="187" t="str">
        <f>IF(貼り付け!M4="","",貼り付け!M4)</f>
        <v/>
      </c>
      <c r="B15" s="193"/>
      <c r="C15" s="189" t="str">
        <f>IF(貼り付け!R4="","",貼り付け!R4)</f>
        <v/>
      </c>
      <c r="D15" s="179"/>
      <c r="E15" s="180"/>
      <c r="F15" s="180"/>
      <c r="G15" s="180"/>
      <c r="H15" s="180"/>
      <c r="I15" s="181"/>
      <c r="J15" s="305"/>
      <c r="K15" s="306"/>
      <c r="M15" s="82" t="s">
        <v>611</v>
      </c>
      <c r="N15" s="83" t="s">
        <v>612</v>
      </c>
    </row>
    <row r="16" spans="1:16" ht="15" customHeight="1" x14ac:dyDescent="0.15">
      <c r="A16" s="196" t="str">
        <f>IF(貼り付け!N4="","",貼り付け!N4)</f>
        <v/>
      </c>
      <c r="B16" s="254"/>
      <c r="C16" s="190"/>
      <c r="D16" s="182"/>
      <c r="E16" s="183"/>
      <c r="F16" s="183"/>
      <c r="G16" s="183"/>
      <c r="H16" s="183"/>
      <c r="I16" s="184"/>
      <c r="J16" s="305"/>
      <c r="K16" s="306"/>
      <c r="M16" s="79" t="str">
        <f>IF(貼り付け!M3="","",貼り付け!M3)</f>
        <v>S1-FPA3-U-EX</v>
      </c>
    </row>
    <row r="17" spans="1:13" ht="15" customHeight="1" x14ac:dyDescent="0.15">
      <c r="A17" s="187" t="str">
        <f>IF(貼り付け!M5="","",貼り付け!M5)</f>
        <v/>
      </c>
      <c r="B17" s="193"/>
      <c r="C17" s="189" t="str">
        <f>IF(貼り付け!R5="","",貼り付け!R5)</f>
        <v/>
      </c>
      <c r="D17" s="179"/>
      <c r="E17" s="180"/>
      <c r="F17" s="180"/>
      <c r="G17" s="180"/>
      <c r="H17" s="180"/>
      <c r="I17" s="181"/>
      <c r="J17" s="305"/>
      <c r="K17" s="306"/>
      <c r="M17" s="80" t="str">
        <f>IF(貼り付け!M4="","",貼り付け!M4)</f>
        <v/>
      </c>
    </row>
    <row r="18" spans="1:13" ht="15" customHeight="1" x14ac:dyDescent="0.15">
      <c r="A18" s="196" t="str">
        <f>IF(貼り付け!N5="","",貼り付け!N5)</f>
        <v/>
      </c>
      <c r="B18" s="254"/>
      <c r="C18" s="190"/>
      <c r="D18" s="182"/>
      <c r="E18" s="183"/>
      <c r="F18" s="183"/>
      <c r="G18" s="183"/>
      <c r="H18" s="183"/>
      <c r="I18" s="184"/>
      <c r="J18" s="305"/>
      <c r="K18" s="306"/>
      <c r="M18" s="80" t="str">
        <f>IF(貼り付け!M5="","",貼り付け!M5)</f>
        <v/>
      </c>
    </row>
    <row r="19" spans="1:13" ht="15" customHeight="1" x14ac:dyDescent="0.15">
      <c r="A19" s="187" t="str">
        <f>IF(貼り付け!M6="","",貼り付け!M6)</f>
        <v/>
      </c>
      <c r="B19" s="193"/>
      <c r="C19" s="189" t="str">
        <f>IF(貼り付け!R6="","",貼り付け!R6)</f>
        <v/>
      </c>
      <c r="D19" s="179"/>
      <c r="E19" s="180"/>
      <c r="F19" s="180"/>
      <c r="G19" s="180"/>
      <c r="H19" s="180"/>
      <c r="I19" s="181"/>
      <c r="J19" s="305"/>
      <c r="K19" s="306"/>
      <c r="M19" s="80" t="str">
        <f>IF(貼り付け!M6="","",貼り付け!M6)</f>
        <v/>
      </c>
    </row>
    <row r="20" spans="1:13" ht="15" customHeight="1" x14ac:dyDescent="0.15">
      <c r="A20" s="191" t="str">
        <f>IF(貼り付け!N6="","",貼り付け!N6)</f>
        <v/>
      </c>
      <c r="B20" s="253"/>
      <c r="C20" s="190"/>
      <c r="D20" s="182"/>
      <c r="E20" s="183"/>
      <c r="F20" s="183"/>
      <c r="G20" s="183"/>
      <c r="H20" s="183"/>
      <c r="I20" s="184"/>
      <c r="J20" s="305"/>
      <c r="K20" s="306"/>
      <c r="M20" s="80" t="str">
        <f>IF(貼り付け!M7="","",貼り付け!M7)</f>
        <v/>
      </c>
    </row>
    <row r="21" spans="1:13" ht="15" customHeight="1" x14ac:dyDescent="0.15">
      <c r="A21" s="187" t="str">
        <f>IF(貼り付け!M7="","",貼り付け!M7)</f>
        <v/>
      </c>
      <c r="B21" s="193"/>
      <c r="C21" s="189" t="str">
        <f>IF(貼り付け!R7="","",貼り付け!R7)</f>
        <v/>
      </c>
      <c r="D21" s="179"/>
      <c r="E21" s="180"/>
      <c r="F21" s="180"/>
      <c r="G21" s="180"/>
      <c r="H21" s="180"/>
      <c r="I21" s="181"/>
      <c r="J21" s="305"/>
      <c r="K21" s="306"/>
      <c r="M21" s="80" t="str">
        <f>IF(貼り付け!M8="","",貼り付け!M8)</f>
        <v/>
      </c>
    </row>
    <row r="22" spans="1:13" ht="15" customHeight="1" x14ac:dyDescent="0.15">
      <c r="A22" s="191" t="str">
        <f>IF(貼り付け!N7="","",貼り付け!N7)</f>
        <v/>
      </c>
      <c r="B22" s="253"/>
      <c r="C22" s="190"/>
      <c r="D22" s="182"/>
      <c r="E22" s="183"/>
      <c r="F22" s="183"/>
      <c r="G22" s="183"/>
      <c r="H22" s="183"/>
      <c r="I22" s="184"/>
      <c r="J22" s="305"/>
      <c r="K22" s="306"/>
      <c r="M22" s="80" t="str">
        <f>IF(貼り付け!M9="","",貼り付け!M9)</f>
        <v/>
      </c>
    </row>
    <row r="23" spans="1:13" ht="15" customHeight="1" x14ac:dyDescent="0.15">
      <c r="A23" s="187" t="str">
        <f>IF(貼り付け!M8="","",貼り付け!M8)</f>
        <v/>
      </c>
      <c r="B23" s="193"/>
      <c r="C23" s="189" t="str">
        <f>IF(貼り付け!R8="","",貼り付け!R8)</f>
        <v/>
      </c>
      <c r="D23" s="179"/>
      <c r="E23" s="180"/>
      <c r="F23" s="180"/>
      <c r="G23" s="180"/>
      <c r="H23" s="180"/>
      <c r="I23" s="181"/>
      <c r="J23" s="305"/>
      <c r="K23" s="306"/>
      <c r="M23" s="80" t="str">
        <f>IF(貼り付け!M10="","",貼り付け!M10)</f>
        <v/>
      </c>
    </row>
    <row r="24" spans="1:13" ht="15" customHeight="1" x14ac:dyDescent="0.15">
      <c r="A24" s="191" t="str">
        <f>IF(貼り付け!N8="","",貼り付け!N8)</f>
        <v/>
      </c>
      <c r="B24" s="253"/>
      <c r="C24" s="190"/>
      <c r="D24" s="182"/>
      <c r="E24" s="183"/>
      <c r="F24" s="183"/>
      <c r="G24" s="183"/>
      <c r="H24" s="183"/>
      <c r="I24" s="184"/>
      <c r="J24" s="305"/>
      <c r="K24" s="306"/>
      <c r="M24" s="80" t="str">
        <f>IF(貼り付け!M11="","",貼り付け!M11)</f>
        <v/>
      </c>
    </row>
    <row r="25" spans="1:13" ht="15" customHeight="1" x14ac:dyDescent="0.15">
      <c r="A25" s="187" t="str">
        <f>IF(貼り付け!M9="","",貼り付け!M9)</f>
        <v/>
      </c>
      <c r="B25" s="193"/>
      <c r="C25" s="189" t="str">
        <f>IF(貼り付け!R9="","",貼り付け!R9)</f>
        <v/>
      </c>
      <c r="D25" s="179"/>
      <c r="E25" s="180"/>
      <c r="F25" s="180"/>
      <c r="G25" s="180"/>
      <c r="H25" s="180"/>
      <c r="I25" s="181"/>
      <c r="J25" s="305"/>
      <c r="K25" s="306"/>
      <c r="M25" s="80" t="str">
        <f>IF(貼り付け!M12="","",貼り付け!M12)</f>
        <v/>
      </c>
    </row>
    <row r="26" spans="1:13" ht="15" customHeight="1" x14ac:dyDescent="0.15">
      <c r="A26" s="191" t="str">
        <f>IF(貼り付け!N9="","",貼り付け!N9)</f>
        <v/>
      </c>
      <c r="B26" s="253"/>
      <c r="C26" s="190"/>
      <c r="D26" s="182"/>
      <c r="E26" s="183"/>
      <c r="F26" s="183"/>
      <c r="G26" s="183"/>
      <c r="H26" s="183"/>
      <c r="I26" s="184"/>
      <c r="J26" s="305"/>
      <c r="K26" s="306"/>
      <c r="M26" s="80" t="str">
        <f>IF(貼り付け!M13="","",貼り付け!M13)</f>
        <v/>
      </c>
    </row>
    <row r="27" spans="1:13" ht="15" customHeight="1" thickBot="1" x14ac:dyDescent="0.2">
      <c r="A27" s="187" t="str">
        <f>IF(貼り付け!M10="","",貼り付け!M10)</f>
        <v/>
      </c>
      <c r="B27" s="193"/>
      <c r="C27" s="189" t="str">
        <f>IF(貼り付け!R10="","",貼り付け!R10)</f>
        <v/>
      </c>
      <c r="D27" s="179"/>
      <c r="E27" s="180"/>
      <c r="F27" s="180"/>
      <c r="G27" s="180"/>
      <c r="H27" s="180"/>
      <c r="I27" s="181"/>
      <c r="J27" s="305"/>
      <c r="K27" s="306"/>
      <c r="M27" s="81" t="str">
        <f>IF(貼り付け!M14="","",貼り付け!M14)</f>
        <v/>
      </c>
    </row>
    <row r="28" spans="1:13" ht="15" customHeight="1" x14ac:dyDescent="0.15">
      <c r="A28" s="191" t="str">
        <f>IF(貼り付け!N10="","",貼り付け!N10)</f>
        <v/>
      </c>
      <c r="B28" s="253"/>
      <c r="C28" s="190"/>
      <c r="D28" s="182"/>
      <c r="E28" s="183"/>
      <c r="F28" s="183"/>
      <c r="G28" s="183"/>
      <c r="H28" s="183"/>
      <c r="I28" s="184"/>
      <c r="J28" s="305"/>
      <c r="K28" s="306"/>
    </row>
    <row r="29" spans="1:13" ht="15" customHeight="1" x14ac:dyDescent="0.15">
      <c r="A29" s="187" t="str">
        <f>IF(貼り付け!M11="","",貼り付け!M11)</f>
        <v/>
      </c>
      <c r="B29" s="193"/>
      <c r="C29" s="189" t="str">
        <f>IF(貼り付け!R11="","",貼り付け!R11)</f>
        <v/>
      </c>
      <c r="D29" s="179"/>
      <c r="E29" s="180"/>
      <c r="F29" s="180"/>
      <c r="G29" s="180"/>
      <c r="H29" s="180"/>
      <c r="I29" s="181"/>
      <c r="J29" s="305"/>
      <c r="K29" s="306"/>
    </row>
    <row r="30" spans="1:13" ht="15" customHeight="1" x14ac:dyDescent="0.15">
      <c r="A30" s="191" t="str">
        <f>IF(貼り付け!N11="","",貼り付け!N11)</f>
        <v/>
      </c>
      <c r="B30" s="253"/>
      <c r="C30" s="190"/>
      <c r="D30" s="182"/>
      <c r="E30" s="183"/>
      <c r="F30" s="183"/>
      <c r="G30" s="183"/>
      <c r="H30" s="183"/>
      <c r="I30" s="184"/>
      <c r="J30" s="305"/>
      <c r="K30" s="306"/>
    </row>
    <row r="31" spans="1:13" ht="15" customHeight="1" x14ac:dyDescent="0.15">
      <c r="A31" s="187" t="str">
        <f>IF(貼り付け!M12="","",貼り付け!M12)</f>
        <v/>
      </c>
      <c r="B31" s="193"/>
      <c r="C31" s="189" t="str">
        <f>IF(貼り付け!R12="","",貼り付け!R12)</f>
        <v/>
      </c>
      <c r="D31" s="179"/>
      <c r="E31" s="180"/>
      <c r="F31" s="180"/>
      <c r="G31" s="180"/>
      <c r="H31" s="180"/>
      <c r="I31" s="181"/>
      <c r="J31" s="305"/>
      <c r="K31" s="306"/>
    </row>
    <row r="32" spans="1:13" ht="15" customHeight="1" x14ac:dyDescent="0.15">
      <c r="A32" s="191" t="str">
        <f>IF(貼り付け!N12="","",貼り付け!N12)</f>
        <v/>
      </c>
      <c r="B32" s="253"/>
      <c r="C32" s="190"/>
      <c r="D32" s="182"/>
      <c r="E32" s="183"/>
      <c r="F32" s="183"/>
      <c r="G32" s="183"/>
      <c r="H32" s="183"/>
      <c r="I32" s="184"/>
      <c r="J32" s="305"/>
      <c r="K32" s="306"/>
    </row>
    <row r="33" spans="1:11" ht="15" customHeight="1" x14ac:dyDescent="0.15">
      <c r="A33" s="187" t="str">
        <f>IF(貼り付け!M13="","",貼り付け!M13)</f>
        <v/>
      </c>
      <c r="B33" s="193"/>
      <c r="C33" s="189" t="str">
        <f>IF(貼り付け!R13="","",貼り付け!R13)</f>
        <v/>
      </c>
      <c r="D33" s="179"/>
      <c r="E33" s="180"/>
      <c r="F33" s="180"/>
      <c r="G33" s="180"/>
      <c r="H33" s="180"/>
      <c r="I33" s="181"/>
      <c r="J33" s="305"/>
      <c r="K33" s="306"/>
    </row>
    <row r="34" spans="1:11" ht="15" customHeight="1" x14ac:dyDescent="0.15">
      <c r="A34" s="191" t="str">
        <f>IF(貼り付け!N13="","",貼り付け!N13)</f>
        <v/>
      </c>
      <c r="B34" s="253"/>
      <c r="C34" s="190"/>
      <c r="D34" s="182"/>
      <c r="E34" s="183"/>
      <c r="F34" s="183"/>
      <c r="G34" s="183"/>
      <c r="H34" s="183"/>
      <c r="I34" s="184"/>
      <c r="J34" s="305"/>
      <c r="K34" s="306"/>
    </row>
    <row r="35" spans="1:11" ht="15" customHeight="1" x14ac:dyDescent="0.15">
      <c r="A35" s="187" t="str">
        <f>IF(貼り付け!M14="","",貼り付け!M14)</f>
        <v/>
      </c>
      <c r="B35" s="193"/>
      <c r="C35" s="189" t="str">
        <f>IF(貼り付け!R14="","",貼り付け!R14)</f>
        <v/>
      </c>
      <c r="D35" s="179"/>
      <c r="E35" s="180"/>
      <c r="F35" s="180"/>
      <c r="G35" s="180"/>
      <c r="H35" s="180"/>
      <c r="I35" s="181"/>
      <c r="J35" s="305"/>
      <c r="K35" s="306"/>
    </row>
    <row r="36" spans="1:11" ht="15" customHeight="1" x14ac:dyDescent="0.15">
      <c r="A36" s="343" t="str">
        <f>IF(貼り付け!N14="","",貼り付け!N14)</f>
        <v/>
      </c>
      <c r="B36" s="344"/>
      <c r="C36" s="190"/>
      <c r="D36" s="182"/>
      <c r="E36" s="183"/>
      <c r="F36" s="183"/>
      <c r="G36" s="183"/>
      <c r="H36" s="183"/>
      <c r="I36" s="184"/>
      <c r="J36" s="305"/>
      <c r="K36" s="306"/>
    </row>
    <row r="37" spans="1:11" ht="15" customHeight="1" x14ac:dyDescent="0.15">
      <c r="A37" s="187" t="str">
        <f>IF(貼り付け!M15="","",貼り付け!M15)</f>
        <v/>
      </c>
      <c r="B37" s="193"/>
      <c r="C37" s="189" t="str">
        <f>IF(貼り付け!R15="","",貼り付け!R15)</f>
        <v/>
      </c>
      <c r="D37" s="179"/>
      <c r="E37" s="180"/>
      <c r="F37" s="180"/>
      <c r="G37" s="180"/>
      <c r="H37" s="180"/>
      <c r="I37" s="181"/>
      <c r="J37" s="305"/>
      <c r="K37" s="306"/>
    </row>
    <row r="38" spans="1:11" ht="15" customHeight="1" x14ac:dyDescent="0.15">
      <c r="A38" s="191" t="str">
        <f>IF(貼り付け!N15="","",貼り付け!N15)</f>
        <v/>
      </c>
      <c r="B38" s="253"/>
      <c r="C38" s="190"/>
      <c r="D38" s="182"/>
      <c r="E38" s="183"/>
      <c r="F38" s="183"/>
      <c r="G38" s="183"/>
      <c r="H38" s="183"/>
      <c r="I38" s="184"/>
      <c r="J38" s="305"/>
      <c r="K38" s="306"/>
    </row>
    <row r="39" spans="1:11" ht="15" customHeight="1" x14ac:dyDescent="0.15">
      <c r="A39" s="187" t="str">
        <f>IF(貼り付け!M16="","",貼り付け!M16)</f>
        <v/>
      </c>
      <c r="B39" s="193"/>
      <c r="C39" s="189" t="str">
        <f>IF(貼り付け!R16="","",貼り付け!R16)</f>
        <v/>
      </c>
      <c r="D39" s="179"/>
      <c r="E39" s="180"/>
      <c r="F39" s="180"/>
      <c r="G39" s="180"/>
      <c r="H39" s="180"/>
      <c r="I39" s="181"/>
      <c r="J39" s="223"/>
      <c r="K39" s="289"/>
    </row>
    <row r="40" spans="1:11" ht="15" customHeight="1" x14ac:dyDescent="0.15">
      <c r="A40" s="345" t="str">
        <f>IF(貼り付け!N16="","",貼り付け!N16)</f>
        <v/>
      </c>
      <c r="B40" s="346"/>
      <c r="C40" s="190"/>
      <c r="D40" s="182"/>
      <c r="E40" s="183"/>
      <c r="F40" s="183"/>
      <c r="G40" s="183"/>
      <c r="H40" s="183"/>
      <c r="I40" s="184"/>
      <c r="J40" s="295"/>
      <c r="K40" s="290"/>
    </row>
    <row r="41" spans="1:11" ht="15" customHeight="1" x14ac:dyDescent="0.15">
      <c r="A41" s="187" t="str">
        <f>IF(貼り付け!M17="","",貼り付け!M17)</f>
        <v/>
      </c>
      <c r="B41" s="193"/>
      <c r="C41" s="349" t="str">
        <f>IF(貼り付け!R17="","",貼り付け!R17)</f>
        <v/>
      </c>
      <c r="D41" s="350"/>
      <c r="E41" s="351"/>
      <c r="F41" s="351"/>
      <c r="G41" s="351"/>
      <c r="H41" s="351"/>
      <c r="I41" s="351"/>
      <c r="J41" s="223"/>
      <c r="K41" s="289"/>
    </row>
    <row r="42" spans="1:11" ht="15" customHeight="1" thickBot="1" x14ac:dyDescent="0.2">
      <c r="A42" s="347" t="str">
        <f>IF(貼り付け!N17="","",貼り付け!N17)</f>
        <v/>
      </c>
      <c r="B42" s="348"/>
      <c r="C42" s="248"/>
      <c r="D42" s="309"/>
      <c r="E42" s="310"/>
      <c r="F42" s="310"/>
      <c r="G42" s="310"/>
      <c r="H42" s="310"/>
      <c r="I42" s="310"/>
      <c r="J42" s="288"/>
      <c r="K42" s="291"/>
    </row>
    <row r="43" spans="1:11" ht="26.25" customHeight="1" thickBot="1" x14ac:dyDescent="0.2">
      <c r="A43" s="16" t="s">
        <v>64</v>
      </c>
      <c r="B43" s="313">
        <f>SUM(C13:C42)</f>
        <v>3</v>
      </c>
      <c r="C43" s="314"/>
      <c r="D43" s="315" t="s">
        <v>66</v>
      </c>
      <c r="E43" s="291"/>
      <c r="F43" s="316"/>
      <c r="G43" s="317"/>
      <c r="H43" s="317"/>
      <c r="I43" s="317"/>
      <c r="J43" s="317"/>
      <c r="K43" s="318"/>
    </row>
    <row r="44" spans="1:11" x14ac:dyDescent="0.15">
      <c r="D44" s="274" t="s">
        <v>2</v>
      </c>
      <c r="E44" s="275"/>
      <c r="F44" s="173">
        <f>B5</f>
        <v>20170804</v>
      </c>
      <c r="G44" s="174"/>
      <c r="H44" s="174"/>
      <c r="I44" s="174"/>
      <c r="J44" s="174"/>
      <c r="K44" s="175"/>
    </row>
    <row r="45" spans="1:11" x14ac:dyDescent="0.15">
      <c r="D45" s="171"/>
      <c r="E45" s="172"/>
      <c r="F45" s="176"/>
      <c r="G45" s="177"/>
      <c r="H45" s="177"/>
      <c r="I45" s="177"/>
      <c r="J45" s="177"/>
      <c r="K45" s="178"/>
    </row>
    <row r="47" spans="1:11" ht="26.25" customHeight="1" x14ac:dyDescent="0.15">
      <c r="A47" s="51"/>
    </row>
    <row r="62" spans="15:15" x14ac:dyDescent="0.15">
      <c r="O62" s="83"/>
    </row>
  </sheetData>
  <mergeCells count="104">
    <mergeCell ref="A35:B35"/>
    <mergeCell ref="C35:C36"/>
    <mergeCell ref="D35:I36"/>
    <mergeCell ref="J35:K36"/>
    <mergeCell ref="A36:B36"/>
    <mergeCell ref="D44:E45"/>
    <mergeCell ref="F44:K45"/>
    <mergeCell ref="A37:B37"/>
    <mergeCell ref="A38:B38"/>
    <mergeCell ref="A39:B39"/>
    <mergeCell ref="A40:B40"/>
    <mergeCell ref="C37:C38"/>
    <mergeCell ref="C39:C40"/>
    <mergeCell ref="D37:I38"/>
    <mergeCell ref="D39:I40"/>
    <mergeCell ref="B43:C43"/>
    <mergeCell ref="D43:E43"/>
    <mergeCell ref="F43:K43"/>
    <mergeCell ref="J37:K38"/>
    <mergeCell ref="J39:K40"/>
    <mergeCell ref="A42:B42"/>
    <mergeCell ref="A41:B41"/>
    <mergeCell ref="C41:C42"/>
    <mergeCell ref="D41:I42"/>
    <mergeCell ref="A33:B33"/>
    <mergeCell ref="C33:C34"/>
    <mergeCell ref="D33:I34"/>
    <mergeCell ref="J33:K34"/>
    <mergeCell ref="A34:B34"/>
    <mergeCell ref="A31:B31"/>
    <mergeCell ref="C31:C32"/>
    <mergeCell ref="D31:I32"/>
    <mergeCell ref="J31:K32"/>
    <mergeCell ref="A32:B32"/>
    <mergeCell ref="A29:B29"/>
    <mergeCell ref="C29:C30"/>
    <mergeCell ref="D29:I30"/>
    <mergeCell ref="J29:K30"/>
    <mergeCell ref="A30:B30"/>
    <mergeCell ref="A27:B27"/>
    <mergeCell ref="C27:C28"/>
    <mergeCell ref="D27:I28"/>
    <mergeCell ref="J27:K28"/>
    <mergeCell ref="A28:B28"/>
    <mergeCell ref="A25:B25"/>
    <mergeCell ref="C25:C26"/>
    <mergeCell ref="D25:I26"/>
    <mergeCell ref="J25:K26"/>
    <mergeCell ref="A26:B26"/>
    <mergeCell ref="A23:B23"/>
    <mergeCell ref="C23:C24"/>
    <mergeCell ref="D23:I24"/>
    <mergeCell ref="J23:K24"/>
    <mergeCell ref="A24:B24"/>
    <mergeCell ref="A21:B21"/>
    <mergeCell ref="C21:C22"/>
    <mergeCell ref="D21:I22"/>
    <mergeCell ref="J21:K22"/>
    <mergeCell ref="A22:B22"/>
    <mergeCell ref="A19:B19"/>
    <mergeCell ref="C19:C20"/>
    <mergeCell ref="D19:I20"/>
    <mergeCell ref="J19:K20"/>
    <mergeCell ref="A20:B20"/>
    <mergeCell ref="J12:K12"/>
    <mergeCell ref="A13:B13"/>
    <mergeCell ref="C13:C14"/>
    <mergeCell ref="D13:I14"/>
    <mergeCell ref="J13:K14"/>
    <mergeCell ref="A14:B14"/>
    <mergeCell ref="A17:B17"/>
    <mergeCell ref="C17:C18"/>
    <mergeCell ref="D17:I18"/>
    <mergeCell ref="J17:K18"/>
    <mergeCell ref="A18:B18"/>
    <mergeCell ref="A15:B15"/>
    <mergeCell ref="C15:C16"/>
    <mergeCell ref="D15:I16"/>
    <mergeCell ref="J15:K16"/>
    <mergeCell ref="A16:B16"/>
    <mergeCell ref="J41:K42"/>
    <mergeCell ref="A1:K1"/>
    <mergeCell ref="B2:C2"/>
    <mergeCell ref="D2:E2"/>
    <mergeCell ref="F2:K2"/>
    <mergeCell ref="B3:C3"/>
    <mergeCell ref="D3:E3"/>
    <mergeCell ref="F3:K3"/>
    <mergeCell ref="D11:K11"/>
    <mergeCell ref="B4:C4"/>
    <mergeCell ref="D4:K4"/>
    <mergeCell ref="B5:C5"/>
    <mergeCell ref="E5:K5"/>
    <mergeCell ref="C6:K6"/>
    <mergeCell ref="B7:C7"/>
    <mergeCell ref="E7:H7"/>
    <mergeCell ref="J7:K7"/>
    <mergeCell ref="A9:A10"/>
    <mergeCell ref="B9:E9"/>
    <mergeCell ref="I9:K9"/>
    <mergeCell ref="B10:E10"/>
    <mergeCell ref="G10:K10"/>
    <mergeCell ref="A12:B12"/>
    <mergeCell ref="D12:I12"/>
  </mergeCells>
  <phoneticPr fontId="1"/>
  <pageMargins left="0.78740157480314965" right="0.36" top="0.78740157480314965" bottom="0.56000000000000005" header="0.51181102362204722" footer="0.51181102362204722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L6" sqref="L6"/>
    </sheetView>
  </sheetViews>
  <sheetFormatPr defaultRowHeight="13.5" x14ac:dyDescent="0.15"/>
  <cols>
    <col min="1" max="1" width="11.5" customWidth="1"/>
    <col min="2" max="2" width="24.25" customWidth="1"/>
    <col min="3" max="3" width="9.125" customWidth="1"/>
    <col min="4" max="4" width="10.625" customWidth="1"/>
    <col min="5" max="5" width="1.875" customWidth="1"/>
    <col min="6" max="6" width="5.75" customWidth="1"/>
    <col min="7" max="7" width="7.5" customWidth="1"/>
    <col min="8" max="8" width="6.875" customWidth="1"/>
    <col min="9" max="9" width="4" customWidth="1"/>
    <col min="10" max="10" width="0.875" customWidth="1"/>
    <col min="11" max="11" width="2.875" customWidth="1"/>
    <col min="13" max="13" width="22.125" customWidth="1"/>
  </cols>
  <sheetData>
    <row r="1" spans="1:14" ht="19.5" thickBot="1" x14ac:dyDescent="0.2">
      <c r="A1" s="221" t="s">
        <v>67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2" spans="1:14" ht="31.5" customHeight="1" x14ac:dyDescent="0.15">
      <c r="A2" s="92" t="s">
        <v>4</v>
      </c>
      <c r="B2" s="231">
        <f>貼り付け!B3</f>
        <v>20170802</v>
      </c>
      <c r="C2" s="211"/>
      <c r="D2" s="232" t="s">
        <v>3</v>
      </c>
      <c r="E2" s="233"/>
      <c r="F2" s="234" t="str">
        <f>貼り付け!A3</f>
        <v>J708000739</v>
      </c>
      <c r="G2" s="235"/>
      <c r="H2" s="235"/>
      <c r="I2" s="235"/>
      <c r="J2" s="235"/>
      <c r="K2" s="236"/>
    </row>
    <row r="3" spans="1:14" ht="31.5" customHeight="1" x14ac:dyDescent="0.15">
      <c r="A3" s="20" t="s">
        <v>62</v>
      </c>
      <c r="B3" s="222" t="str">
        <f>IF(ISNA(VLOOKUP(貼り付け!G3,担当者,4,FALSE)),"",VLOOKUP(貼り付け!G3,担当者,4,FALSE))</f>
        <v>水野</v>
      </c>
      <c r="C3" s="222"/>
      <c r="D3" s="223" t="s">
        <v>63</v>
      </c>
      <c r="E3" s="224"/>
      <c r="F3" s="225"/>
      <c r="G3" s="226"/>
      <c r="H3" s="227"/>
      <c r="I3" s="227"/>
      <c r="J3" s="227"/>
      <c r="K3" s="228"/>
    </row>
    <row r="4" spans="1:14" ht="31.5" customHeight="1" x14ac:dyDescent="0.15">
      <c r="A4" s="20" t="s">
        <v>1</v>
      </c>
      <c r="B4" s="237" t="str">
        <f>貼り付け!G3</f>
        <v>PHT01</v>
      </c>
      <c r="C4" s="238"/>
      <c r="D4" s="237" t="str">
        <f>IF(ISNA(VLOOKUP(B4,納入先名,2,FALSE)),"",VLOOKUP(B4,納入先名,2,FALSE))</f>
        <v>フィリピンタミヤ</v>
      </c>
      <c r="E4" s="239"/>
      <c r="F4" s="239"/>
      <c r="G4" s="239"/>
      <c r="H4" s="239"/>
      <c r="I4" s="239"/>
      <c r="J4" s="239"/>
      <c r="K4" s="240"/>
    </row>
    <row r="5" spans="1:14" ht="31.5" customHeight="1" x14ac:dyDescent="0.15">
      <c r="A5" s="20" t="s">
        <v>2</v>
      </c>
      <c r="B5" s="241">
        <f>貼り付け!P3</f>
        <v>20170804</v>
      </c>
      <c r="C5" s="238"/>
      <c r="D5" s="242" t="s">
        <v>58</v>
      </c>
      <c r="E5" s="238"/>
      <c r="F5" s="243" t="str">
        <f>貼り付け!S3</f>
        <v>8/7納期</v>
      </c>
      <c r="G5" s="244"/>
      <c r="H5" s="244"/>
      <c r="I5" s="244"/>
      <c r="J5" s="244"/>
      <c r="K5" s="245"/>
      <c r="L5" s="34"/>
    </row>
    <row r="6" spans="1:14" ht="31.5" customHeight="1" x14ac:dyDescent="0.15">
      <c r="A6" s="20" t="s">
        <v>60</v>
      </c>
      <c r="B6" s="161" t="str">
        <f>貼り付け!C3</f>
        <v>タミヤ様分</v>
      </c>
      <c r="C6" s="153" t="str">
        <f>IF(ISNA(VLOOKUP(B4,納入先名,8,FALSE)),"",VLOOKUP(B4,納入先名,8,FALSE))</f>
        <v>タミヤ様分</v>
      </c>
      <c r="E6" s="153"/>
      <c r="F6" s="153"/>
      <c r="G6" s="153"/>
      <c r="H6" s="153"/>
      <c r="I6" s="153"/>
      <c r="J6" s="153"/>
      <c r="K6" s="162"/>
    </row>
    <row r="7" spans="1:14" ht="31.5" customHeight="1" x14ac:dyDescent="0.15">
      <c r="A7" s="20" t="s">
        <v>5</v>
      </c>
      <c r="B7" s="237" t="str">
        <f>貼り付け!C3</f>
        <v>タミヤ様分</v>
      </c>
      <c r="C7" s="259"/>
      <c r="D7" s="95" t="s">
        <v>59</v>
      </c>
      <c r="E7" s="200" t="str">
        <f>貼り付け!E3</f>
        <v>伊坂化成株式会社　藤枝</v>
      </c>
      <c r="F7" s="201"/>
      <c r="G7" s="201"/>
      <c r="H7" s="201"/>
      <c r="I7" s="78"/>
      <c r="J7" s="198" t="s">
        <v>610</v>
      </c>
      <c r="K7" s="199"/>
      <c r="L7" s="34"/>
    </row>
    <row r="8" spans="1:14" ht="31.5" customHeight="1" x14ac:dyDescent="0.15">
      <c r="A8" s="20" t="s">
        <v>8</v>
      </c>
      <c r="B8" s="157" t="str">
        <f>貼り付け!H3&amp;"  "&amp;貼り付け!I3</f>
        <v xml:space="preserve">アオキトランス㈱興津ターミナル事務所  </v>
      </c>
      <c r="C8" s="158"/>
      <c r="D8" s="158"/>
      <c r="E8" s="158"/>
      <c r="F8" s="158" t="s">
        <v>665</v>
      </c>
      <c r="G8" s="158"/>
      <c r="H8" s="158"/>
      <c r="I8" s="158"/>
      <c r="J8" s="158"/>
      <c r="K8" s="159"/>
      <c r="L8" s="34"/>
      <c r="M8" s="30"/>
    </row>
    <row r="9" spans="1:14" ht="31.5" customHeight="1" x14ac:dyDescent="0.15">
      <c r="A9" s="214" t="s">
        <v>9</v>
      </c>
      <c r="B9" s="202" t="str">
        <f>貼り付け!J3</f>
        <v>静岡市清水区興津清見寺１３７５－１６</v>
      </c>
      <c r="C9" s="203"/>
      <c r="D9" s="203"/>
      <c r="E9" s="204"/>
      <c r="F9" s="49" t="s">
        <v>137</v>
      </c>
      <c r="G9" s="93">
        <f>IF(ISNA(VLOOKUP(B4,納入先名,6,FALSE)),"",VLOOKUP(B4,納入先名,6,FALSE))</f>
        <v>424</v>
      </c>
      <c r="H9" s="93" t="s">
        <v>138</v>
      </c>
      <c r="I9" s="205" t="str">
        <f>IF(ISNA(VLOOKUP(B4,納入先名,7,FALSE)),"",VLOOKUP(B4,納入先名,7,FALSE))</f>
        <v>0206</v>
      </c>
      <c r="J9" s="205"/>
      <c r="K9" s="206"/>
      <c r="L9" s="34"/>
    </row>
    <row r="10" spans="1:14" ht="31.5" customHeight="1" thickBot="1" x14ac:dyDescent="0.2">
      <c r="A10" s="215"/>
      <c r="B10" s="218" t="str">
        <f>IF(貼り付け!K3="","",貼り付け!K3)</f>
        <v/>
      </c>
      <c r="C10" s="219"/>
      <c r="D10" s="219"/>
      <c r="E10" s="220"/>
      <c r="F10" s="94" t="s">
        <v>139</v>
      </c>
      <c r="G10" s="216" t="str">
        <f>貼り付け!L3</f>
        <v>054-369-6666</v>
      </c>
      <c r="H10" s="216"/>
      <c r="I10" s="216"/>
      <c r="J10" s="216"/>
      <c r="K10" s="217"/>
      <c r="L10" s="33"/>
      <c r="M10" s="30"/>
    </row>
    <row r="11" spans="1:14" ht="21" customHeight="1" thickBot="1" x14ac:dyDescent="0.2">
      <c r="A11" s="50"/>
      <c r="B11" s="1"/>
      <c r="C11" s="1"/>
      <c r="D11" s="1"/>
      <c r="E11" s="167"/>
      <c r="F11" s="167"/>
      <c r="G11" s="167"/>
      <c r="H11" s="167"/>
      <c r="I11" s="167"/>
      <c r="J11" s="167"/>
      <c r="K11" s="167"/>
      <c r="L11" s="30"/>
      <c r="M11" s="32"/>
    </row>
    <row r="12" spans="1:14" ht="23.25" customHeight="1" thickBot="1" x14ac:dyDescent="0.2">
      <c r="A12" s="207" t="s">
        <v>6</v>
      </c>
      <c r="B12" s="208"/>
      <c r="C12" s="91" t="s">
        <v>7</v>
      </c>
      <c r="D12" s="209" t="s">
        <v>10</v>
      </c>
      <c r="E12" s="210"/>
      <c r="F12" s="210"/>
      <c r="G12" s="210"/>
      <c r="H12" s="211"/>
      <c r="I12" s="209"/>
      <c r="J12" s="212"/>
      <c r="K12" s="213"/>
      <c r="M12" s="82" t="s">
        <v>611</v>
      </c>
      <c r="N12" s="84" t="s">
        <v>612</v>
      </c>
    </row>
    <row r="13" spans="1:14" ht="15" customHeight="1" x14ac:dyDescent="0.15">
      <c r="A13" s="187" t="str">
        <f>IF(貼り付け!M3="","",貼り付け!M3)</f>
        <v>S1-FPA3-U-EX</v>
      </c>
      <c r="B13" s="193"/>
      <c r="C13" s="189">
        <f>IF(貼り付け!R3="","",貼り付け!R3)</f>
        <v>3</v>
      </c>
      <c r="D13" s="179"/>
      <c r="E13" s="180"/>
      <c r="F13" s="180"/>
      <c r="G13" s="180"/>
      <c r="H13" s="181"/>
      <c r="I13" s="179"/>
      <c r="J13" s="180"/>
      <c r="K13" s="185"/>
      <c r="M13" s="85" t="str">
        <f>IF(貼り付け!M3="","",貼り付け!M3)</f>
        <v>S1-FPA3-U-EX</v>
      </c>
    </row>
    <row r="14" spans="1:14" ht="15" customHeight="1" x14ac:dyDescent="0.15">
      <c r="A14" s="191" t="str">
        <f>IF(貼り付け!N3="","",貼り付け!N3)</f>
        <v>ＦＰＡ－３ (UN/16KG)</v>
      </c>
      <c r="B14" s="192"/>
      <c r="C14" s="190"/>
      <c r="D14" s="182"/>
      <c r="E14" s="183"/>
      <c r="F14" s="183"/>
      <c r="G14" s="183"/>
      <c r="H14" s="184"/>
      <c r="I14" s="182"/>
      <c r="J14" s="183"/>
      <c r="K14" s="186"/>
      <c r="M14" s="79" t="str">
        <f>IF(貼り付け!M4="","",貼り付け!M4)</f>
        <v/>
      </c>
    </row>
    <row r="15" spans="1:14" ht="15" customHeight="1" x14ac:dyDescent="0.15">
      <c r="A15" s="187" t="str">
        <f>IF(貼り付け!M4="","",貼り付け!M4)</f>
        <v/>
      </c>
      <c r="B15" s="188"/>
      <c r="C15" s="189" t="str">
        <f>IF(貼り付け!R4="","",貼り付け!R4)</f>
        <v/>
      </c>
      <c r="D15" s="179"/>
      <c r="E15" s="180"/>
      <c r="F15" s="180"/>
      <c r="G15" s="180"/>
      <c r="H15" s="181"/>
      <c r="I15" s="179"/>
      <c r="J15" s="180"/>
      <c r="K15" s="185"/>
      <c r="M15" s="80" t="str">
        <f>IF(貼り付け!M5="","",貼り付け!M5)</f>
        <v/>
      </c>
      <c r="N15" s="30"/>
    </row>
    <row r="16" spans="1:14" ht="15" customHeight="1" x14ac:dyDescent="0.15">
      <c r="A16" s="353" t="str">
        <f>IF(貼り付け!N4="","",貼り付け!N4)</f>
        <v/>
      </c>
      <c r="B16" s="354"/>
      <c r="C16" s="190"/>
      <c r="D16" s="182"/>
      <c r="E16" s="183"/>
      <c r="F16" s="183"/>
      <c r="G16" s="183"/>
      <c r="H16" s="184"/>
      <c r="I16" s="182"/>
      <c r="J16" s="183"/>
      <c r="K16" s="186"/>
      <c r="M16" s="80" t="str">
        <f>IF(貼り付け!M6="","",貼り付け!M6)</f>
        <v/>
      </c>
    </row>
    <row r="17" spans="1:14" ht="15" customHeight="1" x14ac:dyDescent="0.15">
      <c r="A17" s="187" t="str">
        <f>IF(貼り付け!M5="","",貼り付け!M5)</f>
        <v/>
      </c>
      <c r="B17" s="193"/>
      <c r="C17" s="189" t="str">
        <f>IF(貼り付け!R5="","",貼り付け!R5)</f>
        <v/>
      </c>
      <c r="D17" s="179"/>
      <c r="E17" s="180"/>
      <c r="F17" s="180"/>
      <c r="G17" s="180"/>
      <c r="H17" s="181"/>
      <c r="I17" s="179"/>
      <c r="J17" s="180"/>
      <c r="K17" s="185"/>
      <c r="M17" s="80" t="str">
        <f>IF(貼り付け!M7="","",貼り付け!M7)</f>
        <v/>
      </c>
    </row>
    <row r="18" spans="1:14" ht="15" customHeight="1" x14ac:dyDescent="0.15">
      <c r="A18" s="196" t="str">
        <f>IF(貼り付け!N5="","",貼り付け!N5)</f>
        <v/>
      </c>
      <c r="B18" s="197"/>
      <c r="C18" s="190"/>
      <c r="D18" s="182"/>
      <c r="E18" s="183"/>
      <c r="F18" s="183"/>
      <c r="G18" s="183"/>
      <c r="H18" s="184"/>
      <c r="I18" s="182"/>
      <c r="J18" s="183"/>
      <c r="K18" s="186"/>
      <c r="M18" s="80" t="str">
        <f>IF(貼り付け!M8="","",貼り付け!M8)</f>
        <v/>
      </c>
    </row>
    <row r="19" spans="1:14" ht="15" customHeight="1" x14ac:dyDescent="0.15">
      <c r="A19" s="187" t="str">
        <f>IF(貼り付け!M6="","",貼り付け!M6)</f>
        <v/>
      </c>
      <c r="B19" s="188"/>
      <c r="C19" s="189" t="str">
        <f>IF(貼り付け!R6="","",貼り付け!R6)</f>
        <v/>
      </c>
      <c r="D19" s="179"/>
      <c r="E19" s="180"/>
      <c r="F19" s="180"/>
      <c r="G19" s="180"/>
      <c r="H19" s="181"/>
      <c r="I19" s="179"/>
      <c r="J19" s="180"/>
      <c r="K19" s="185"/>
      <c r="M19" s="80" t="str">
        <f>IF(貼り付け!M9="","",貼り付け!M9)</f>
        <v/>
      </c>
    </row>
    <row r="20" spans="1:14" ht="15" customHeight="1" x14ac:dyDescent="0.15">
      <c r="A20" s="191" t="str">
        <f>IF(貼り付け!N6="","",貼り付け!N6)</f>
        <v/>
      </c>
      <c r="B20" s="192"/>
      <c r="C20" s="190"/>
      <c r="D20" s="182"/>
      <c r="E20" s="183"/>
      <c r="F20" s="183"/>
      <c r="G20" s="183"/>
      <c r="H20" s="184"/>
      <c r="I20" s="182"/>
      <c r="J20" s="183"/>
      <c r="K20" s="186"/>
      <c r="M20" s="80" t="str">
        <f>IF(貼り付け!M10="","",貼り付け!M10)</f>
        <v/>
      </c>
      <c r="N20" s="1"/>
    </row>
    <row r="21" spans="1:14" ht="15" customHeight="1" x14ac:dyDescent="0.15">
      <c r="A21" s="187" t="str">
        <f>IF(貼り付け!M7="","",貼り付け!M7)</f>
        <v/>
      </c>
      <c r="B21" s="188"/>
      <c r="C21" s="189" t="str">
        <f>IF(貼り付け!R7="","",貼り付け!R7)</f>
        <v/>
      </c>
      <c r="D21" s="179"/>
      <c r="E21" s="180"/>
      <c r="F21" s="180"/>
      <c r="G21" s="180"/>
      <c r="H21" s="181"/>
      <c r="I21" s="179"/>
      <c r="J21" s="180"/>
      <c r="K21" s="185"/>
      <c r="M21" s="80" t="str">
        <f>IF(貼り付け!M11="","",貼り付け!M11)</f>
        <v/>
      </c>
    </row>
    <row r="22" spans="1:14" ht="15" customHeight="1" x14ac:dyDescent="0.15">
      <c r="A22" s="323" t="str">
        <f>IF(貼り付け!N7="","",貼り付け!N7)</f>
        <v/>
      </c>
      <c r="B22" s="352"/>
      <c r="C22" s="190"/>
      <c r="D22" s="182"/>
      <c r="E22" s="183"/>
      <c r="F22" s="183"/>
      <c r="G22" s="183"/>
      <c r="H22" s="184"/>
      <c r="I22" s="182"/>
      <c r="J22" s="183"/>
      <c r="K22" s="186"/>
      <c r="M22" s="80" t="str">
        <f>IF(貼り付け!M12="","",貼り付け!M12)</f>
        <v/>
      </c>
    </row>
    <row r="23" spans="1:14" ht="15" customHeight="1" x14ac:dyDescent="0.15">
      <c r="A23" s="187" t="str">
        <f>IF(貼り付け!M8="","",貼り付け!M8)</f>
        <v/>
      </c>
      <c r="B23" s="188"/>
      <c r="C23" s="189" t="str">
        <f>IF(貼り付け!R8="","",貼り付け!R8)</f>
        <v/>
      </c>
      <c r="D23" s="179"/>
      <c r="E23" s="180"/>
      <c r="F23" s="180"/>
      <c r="G23" s="180"/>
      <c r="H23" s="181"/>
      <c r="I23" s="179"/>
      <c r="J23" s="180"/>
      <c r="K23" s="185"/>
      <c r="M23" s="80" t="str">
        <f>IF(貼り付け!M13="","",貼り付け!M13)</f>
        <v/>
      </c>
    </row>
    <row r="24" spans="1:14" ht="15" customHeight="1" x14ac:dyDescent="0.15">
      <c r="A24" s="191" t="str">
        <f>IF(貼り付け!N8="","",貼り付け!N8)</f>
        <v/>
      </c>
      <c r="B24" s="192"/>
      <c r="C24" s="190"/>
      <c r="D24" s="182"/>
      <c r="E24" s="183"/>
      <c r="F24" s="183"/>
      <c r="G24" s="183"/>
      <c r="H24" s="184"/>
      <c r="I24" s="182"/>
      <c r="J24" s="183"/>
      <c r="K24" s="186"/>
      <c r="M24" s="80" t="str">
        <f>IF(貼り付け!M14="","",貼り付け!M14)</f>
        <v/>
      </c>
    </row>
    <row r="25" spans="1:14" ht="15" customHeight="1" thickBot="1" x14ac:dyDescent="0.2">
      <c r="A25" s="187" t="str">
        <f>IF(貼り付け!M9="","",貼り付け!M9)</f>
        <v/>
      </c>
      <c r="B25" s="188"/>
      <c r="C25" s="189" t="str">
        <f>IF(貼り付け!R9="","",貼り付け!R9)</f>
        <v/>
      </c>
      <c r="D25" s="179"/>
      <c r="E25" s="180"/>
      <c r="F25" s="180"/>
      <c r="G25" s="180"/>
      <c r="H25" s="181"/>
      <c r="I25" s="179"/>
      <c r="J25" s="180"/>
      <c r="K25" s="185"/>
      <c r="M25" s="81" t="str">
        <f>IF(貼り付け!M15="","",貼り付け!M15)</f>
        <v/>
      </c>
    </row>
    <row r="26" spans="1:14" ht="15" customHeight="1" x14ac:dyDescent="0.15">
      <c r="A26" s="191" t="str">
        <f>IF(貼り付け!N9="","",貼り付け!N9)</f>
        <v/>
      </c>
      <c r="B26" s="192"/>
      <c r="C26" s="190"/>
      <c r="D26" s="182"/>
      <c r="E26" s="183"/>
      <c r="F26" s="183"/>
      <c r="G26" s="183"/>
      <c r="H26" s="184"/>
      <c r="I26" s="182"/>
      <c r="J26" s="183"/>
      <c r="K26" s="186"/>
    </row>
    <row r="27" spans="1:14" ht="15" customHeight="1" x14ac:dyDescent="0.15">
      <c r="A27" s="187" t="str">
        <f>IF(貼り付け!M10="","",貼り付け!M10)</f>
        <v/>
      </c>
      <c r="B27" s="188"/>
      <c r="C27" s="189" t="str">
        <f>IF(貼り付け!R10="","",貼り付け!R10)</f>
        <v/>
      </c>
      <c r="D27" s="179"/>
      <c r="E27" s="180"/>
      <c r="F27" s="180"/>
      <c r="G27" s="180"/>
      <c r="H27" s="181"/>
      <c r="I27" s="179"/>
      <c r="J27" s="180"/>
      <c r="K27" s="185"/>
    </row>
    <row r="28" spans="1:14" ht="15" customHeight="1" x14ac:dyDescent="0.15">
      <c r="A28" s="191" t="str">
        <f>IF(貼り付け!N10="","",貼り付け!N10)</f>
        <v/>
      </c>
      <c r="B28" s="192"/>
      <c r="C28" s="190"/>
      <c r="D28" s="182"/>
      <c r="E28" s="183"/>
      <c r="F28" s="183"/>
      <c r="G28" s="183"/>
      <c r="H28" s="184"/>
      <c r="I28" s="182"/>
      <c r="J28" s="183"/>
      <c r="K28" s="186"/>
    </row>
    <row r="29" spans="1:14" ht="15" customHeight="1" x14ac:dyDescent="0.15">
      <c r="A29" s="187" t="str">
        <f>IF(貼り付け!M11="","",貼り付け!M11)</f>
        <v/>
      </c>
      <c r="B29" s="188"/>
      <c r="C29" s="189" t="str">
        <f>IF(貼り付け!R11="","",貼り付け!R11)</f>
        <v/>
      </c>
      <c r="D29" s="179"/>
      <c r="E29" s="180"/>
      <c r="F29" s="180"/>
      <c r="G29" s="180"/>
      <c r="H29" s="181"/>
      <c r="I29" s="179"/>
      <c r="J29" s="180"/>
      <c r="K29" s="185"/>
    </row>
    <row r="30" spans="1:14" ht="15" customHeight="1" x14ac:dyDescent="0.15">
      <c r="A30" s="191" t="str">
        <f>IF(貼り付け!N11="","",貼り付け!N11)</f>
        <v/>
      </c>
      <c r="B30" s="192"/>
      <c r="C30" s="190"/>
      <c r="D30" s="182"/>
      <c r="E30" s="183"/>
      <c r="F30" s="183"/>
      <c r="G30" s="183"/>
      <c r="H30" s="184"/>
      <c r="I30" s="182"/>
      <c r="J30" s="183"/>
      <c r="K30" s="186"/>
    </row>
    <row r="31" spans="1:14" ht="15" customHeight="1" x14ac:dyDescent="0.15">
      <c r="A31" s="187" t="str">
        <f>IF(貼り付け!M12="","",貼り付け!M12)</f>
        <v/>
      </c>
      <c r="B31" s="193"/>
      <c r="C31" s="189" t="str">
        <f>IF(貼り付け!R12="","",貼り付け!R12)</f>
        <v/>
      </c>
      <c r="D31" s="179"/>
      <c r="E31" s="180"/>
      <c r="F31" s="180"/>
      <c r="G31" s="180"/>
      <c r="H31" s="181"/>
      <c r="I31" s="179"/>
      <c r="J31" s="180"/>
      <c r="K31" s="185"/>
    </row>
    <row r="32" spans="1:14" ht="15" customHeight="1" x14ac:dyDescent="0.15">
      <c r="A32" s="191" t="str">
        <f>IF(貼り付け!N12="","",貼り付け!N12)</f>
        <v/>
      </c>
      <c r="B32" s="192"/>
      <c r="C32" s="190"/>
      <c r="D32" s="182"/>
      <c r="E32" s="183"/>
      <c r="F32" s="183"/>
      <c r="G32" s="183"/>
      <c r="H32" s="184"/>
      <c r="I32" s="182"/>
      <c r="J32" s="183"/>
      <c r="K32" s="186"/>
    </row>
    <row r="33" spans="1:11" ht="15" customHeight="1" x14ac:dyDescent="0.15">
      <c r="A33" s="187" t="str">
        <f>IF(貼り付け!M13="","",貼り付け!M13)</f>
        <v/>
      </c>
      <c r="B33" s="193"/>
      <c r="C33" s="189" t="str">
        <f>IF(貼り付け!R13="","",貼り付け!R13)</f>
        <v/>
      </c>
      <c r="D33" s="179"/>
      <c r="E33" s="180"/>
      <c r="F33" s="180"/>
      <c r="G33" s="180"/>
      <c r="H33" s="181"/>
      <c r="I33" s="179"/>
      <c r="J33" s="180"/>
      <c r="K33" s="185"/>
    </row>
    <row r="34" spans="1:11" ht="15" customHeight="1" x14ac:dyDescent="0.15">
      <c r="A34" s="191" t="str">
        <f>IF(貼り付け!N13="","",貼り付け!N13)</f>
        <v/>
      </c>
      <c r="B34" s="192"/>
      <c r="C34" s="190"/>
      <c r="D34" s="182"/>
      <c r="E34" s="183"/>
      <c r="F34" s="183"/>
      <c r="G34" s="183"/>
      <c r="H34" s="184"/>
      <c r="I34" s="182"/>
      <c r="J34" s="183"/>
      <c r="K34" s="186"/>
    </row>
    <row r="35" spans="1:11" ht="15" customHeight="1" x14ac:dyDescent="0.15">
      <c r="A35" s="187" t="str">
        <f>IF(貼り付け!M14="","",貼り付け!M14)</f>
        <v/>
      </c>
      <c r="B35" s="193"/>
      <c r="C35" s="189" t="str">
        <f>IF(貼り付け!R14="","",貼り付け!R14)</f>
        <v/>
      </c>
      <c r="D35" s="179"/>
      <c r="E35" s="180"/>
      <c r="F35" s="180"/>
      <c r="G35" s="180"/>
      <c r="H35" s="181"/>
      <c r="I35" s="179"/>
      <c r="J35" s="180"/>
      <c r="K35" s="185"/>
    </row>
    <row r="36" spans="1:11" ht="15" customHeight="1" thickBot="1" x14ac:dyDescent="0.2">
      <c r="A36" s="191" t="str">
        <f>IF(貼り付け!N14="","",貼り付け!N14)</f>
        <v/>
      </c>
      <c r="B36" s="192"/>
      <c r="C36" s="190"/>
      <c r="D36" s="182"/>
      <c r="E36" s="183"/>
      <c r="F36" s="183"/>
      <c r="G36" s="183"/>
      <c r="H36" s="184"/>
      <c r="I36" s="182"/>
      <c r="J36" s="183"/>
      <c r="K36" s="186"/>
    </row>
    <row r="37" spans="1:11" ht="30" customHeight="1" thickBot="1" x14ac:dyDescent="0.2">
      <c r="A37" s="3" t="s">
        <v>64</v>
      </c>
      <c r="B37" s="163">
        <f>SUM(C13:C36)</f>
        <v>3</v>
      </c>
      <c r="C37" s="164"/>
      <c r="D37" s="165" t="s">
        <v>66</v>
      </c>
      <c r="E37" s="166"/>
      <c r="F37" s="165"/>
      <c r="G37" s="167"/>
      <c r="H37" s="167"/>
      <c r="I37" s="167"/>
      <c r="J37" s="167"/>
      <c r="K37" s="168"/>
    </row>
    <row r="38" spans="1:11" ht="13.5" customHeight="1" x14ac:dyDescent="0.15">
      <c r="D38" s="169" t="s">
        <v>2</v>
      </c>
      <c r="E38" s="170"/>
      <c r="F38" s="173">
        <f>B5</f>
        <v>20170804</v>
      </c>
      <c r="G38" s="174"/>
      <c r="H38" s="174"/>
      <c r="I38" s="174"/>
      <c r="J38" s="174"/>
      <c r="K38" s="175"/>
    </row>
    <row r="39" spans="1:11" ht="13.5" customHeight="1" x14ac:dyDescent="0.15">
      <c r="D39" s="171"/>
      <c r="E39" s="172"/>
      <c r="F39" s="176"/>
      <c r="G39" s="177"/>
      <c r="H39" s="177"/>
      <c r="I39" s="177"/>
      <c r="J39" s="177"/>
      <c r="K39" s="178"/>
    </row>
    <row r="40" spans="1:11" ht="23.25" customHeight="1" x14ac:dyDescent="0.15"/>
  </sheetData>
  <mergeCells count="89">
    <mergeCell ref="A1:K1"/>
    <mergeCell ref="B2:C2"/>
    <mergeCell ref="D2:E2"/>
    <mergeCell ref="F2:K2"/>
    <mergeCell ref="B3:C3"/>
    <mergeCell ref="D3:E3"/>
    <mergeCell ref="F3:K3"/>
    <mergeCell ref="B4:C4"/>
    <mergeCell ref="D4:K4"/>
    <mergeCell ref="B5:C5"/>
    <mergeCell ref="D5:E5"/>
    <mergeCell ref="F5:K5"/>
    <mergeCell ref="B7:C7"/>
    <mergeCell ref="E7:H7"/>
    <mergeCell ref="J7:K7"/>
    <mergeCell ref="A9:A10"/>
    <mergeCell ref="B9:E9"/>
    <mergeCell ref="I9:K9"/>
    <mergeCell ref="B10:E10"/>
    <mergeCell ref="G10:K10"/>
    <mergeCell ref="E11:K11"/>
    <mergeCell ref="A12:B12"/>
    <mergeCell ref="D12:H12"/>
    <mergeCell ref="I12:K12"/>
    <mergeCell ref="A13:B13"/>
    <mergeCell ref="C13:C14"/>
    <mergeCell ref="D13:H14"/>
    <mergeCell ref="I13:K14"/>
    <mergeCell ref="A14:B14"/>
    <mergeCell ref="A17:B17"/>
    <mergeCell ref="C17:C18"/>
    <mergeCell ref="D17:H18"/>
    <mergeCell ref="I17:K18"/>
    <mergeCell ref="A18:B18"/>
    <mergeCell ref="A15:B15"/>
    <mergeCell ref="C15:C16"/>
    <mergeCell ref="D15:H16"/>
    <mergeCell ref="I15:K16"/>
    <mergeCell ref="A16:B16"/>
    <mergeCell ref="A21:B21"/>
    <mergeCell ref="C21:C22"/>
    <mergeCell ref="D21:H22"/>
    <mergeCell ref="I21:K22"/>
    <mergeCell ref="A22:B22"/>
    <mergeCell ref="A19:B19"/>
    <mergeCell ref="C19:C20"/>
    <mergeCell ref="D19:H20"/>
    <mergeCell ref="I19:K20"/>
    <mergeCell ref="A20:B20"/>
    <mergeCell ref="A25:B25"/>
    <mergeCell ref="C25:C26"/>
    <mergeCell ref="D25:H26"/>
    <mergeCell ref="I25:K26"/>
    <mergeCell ref="A26:B26"/>
    <mergeCell ref="A23:B23"/>
    <mergeCell ref="C23:C24"/>
    <mergeCell ref="D23:H24"/>
    <mergeCell ref="I23:K24"/>
    <mergeCell ref="A24:B24"/>
    <mergeCell ref="A29:B29"/>
    <mergeCell ref="C29:C30"/>
    <mergeCell ref="D29:H30"/>
    <mergeCell ref="I29:K30"/>
    <mergeCell ref="A30:B30"/>
    <mergeCell ref="A27:B27"/>
    <mergeCell ref="C27:C28"/>
    <mergeCell ref="D27:H28"/>
    <mergeCell ref="I27:K28"/>
    <mergeCell ref="A28:B28"/>
    <mergeCell ref="A33:B33"/>
    <mergeCell ref="C33:C34"/>
    <mergeCell ref="D33:H34"/>
    <mergeCell ref="I33:K34"/>
    <mergeCell ref="A34:B34"/>
    <mergeCell ref="D38:E39"/>
    <mergeCell ref="F38:K39"/>
    <mergeCell ref="A35:B35"/>
    <mergeCell ref="C35:C36"/>
    <mergeCell ref="D35:H36"/>
    <mergeCell ref="I35:K36"/>
    <mergeCell ref="A36:B36"/>
    <mergeCell ref="B37:C37"/>
    <mergeCell ref="D37:E37"/>
    <mergeCell ref="F37:K37"/>
    <mergeCell ref="A31:B31"/>
    <mergeCell ref="C31:C32"/>
    <mergeCell ref="D31:H32"/>
    <mergeCell ref="I31:K32"/>
    <mergeCell ref="A32:B32"/>
  </mergeCells>
  <phoneticPr fontId="1"/>
  <pageMargins left="0.78740157480314965" right="0.78740157480314965" top="0.98425196850393704" bottom="0.65" header="0.51181102362204722" footer="0.51181102362204722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12</vt:i4>
      </vt:variant>
    </vt:vector>
  </HeadingPairs>
  <TitlesOfParts>
    <vt:vector size="32" baseType="lpstr">
      <vt:lpstr>Sheet1</vt:lpstr>
      <vt:lpstr>貼り付け</vt:lpstr>
      <vt:lpstr>缶Ｎo無</vt:lpstr>
      <vt:lpstr>豊通</vt:lpstr>
      <vt:lpstr>豊通(THI)</vt:lpstr>
      <vt:lpstr>豊通(CAN NO.無)</vt:lpstr>
      <vt:lpstr>豊通(タイスタンレー)</vt:lpstr>
      <vt:lpstr>豊通(CAN NO.無) (ﾍﾞﾄﾅﾑ)</vt:lpstr>
      <vt:lpstr>長瀬産業</vt:lpstr>
      <vt:lpstr>伊坂長城</vt:lpstr>
      <vt:lpstr>伊坂(タミヤ)</vt:lpstr>
      <vt:lpstr>極東</vt:lpstr>
      <vt:lpstr>セニー</vt:lpstr>
      <vt:lpstr>ATEジャパン</vt:lpstr>
      <vt:lpstr>TKTT用</vt:lpstr>
      <vt:lpstr>納入先名</vt:lpstr>
      <vt:lpstr>納入先名２</vt:lpstr>
      <vt:lpstr>Sheet2</vt:lpstr>
      <vt:lpstr>Sheet3</vt:lpstr>
      <vt:lpstr>引き取り対応</vt:lpstr>
      <vt:lpstr>ATEジャパン!Print_Area</vt:lpstr>
      <vt:lpstr>'伊坂(タミヤ)'!Print_Area</vt:lpstr>
      <vt:lpstr>伊坂長城!Print_Area</vt:lpstr>
      <vt:lpstr>缶Ｎo無!Print_Area</vt:lpstr>
      <vt:lpstr>長瀬産業!Print_Area</vt:lpstr>
      <vt:lpstr>豊通!Print_Area</vt:lpstr>
      <vt:lpstr>'豊通(CAN NO.無)'!Print_Area</vt:lpstr>
      <vt:lpstr>'豊通(CAN NO.無) (ﾍﾞﾄﾅﾑ)'!Print_Area</vt:lpstr>
      <vt:lpstr>'豊通(THI)'!Print_Area</vt:lpstr>
      <vt:lpstr>'豊通(タイスタンレー)'!Print_Area</vt:lpstr>
      <vt:lpstr>担当者</vt:lpstr>
      <vt:lpstr>納入先名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toyo</dc:creator>
  <cp:lastModifiedBy>Hewlett-Packard Company</cp:lastModifiedBy>
  <cp:lastPrinted>2020-09-08T05:36:25Z</cp:lastPrinted>
  <dcterms:created xsi:type="dcterms:W3CDTF">2007-05-22T00:20:45Z</dcterms:created>
  <dcterms:modified xsi:type="dcterms:W3CDTF">2020-10-02T08:02:46Z</dcterms:modified>
</cp:coreProperties>
</file>